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Y00Q2zBH2eVv/PbH+wdalnaRuIOb/Xyq0rbFwLIjM/eiTFT8Qkvrz7q5R6JV3feAgdly7kSKcduZr2BVen/2cA==" workbookSaltValue="yFvPnsvn86spbcDRHd+f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A15" i="8"/>
  <c r="AZ15" i="8"/>
  <c r="AY15" i="8"/>
  <c r="BB12" i="8"/>
  <c r="BE12" i="8" s="1"/>
  <c r="BA12" i="8"/>
  <c r="AZ12" i="8"/>
  <c r="BG12" i="8" s="1"/>
  <c r="AY12" i="8"/>
  <c r="BB11" i="8"/>
  <c r="BE11" i="8" s="1"/>
  <c r="BA11" i="8"/>
  <c r="AZ11" i="8"/>
  <c r="BD11" i="8" s="1"/>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F11" i="8" s="1"/>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M19" i="8"/>
  <c r="AP13" i="17"/>
  <c r="BD17" i="8"/>
  <c r="BF17" i="8"/>
  <c r="AB19" i="19"/>
  <c r="ER19" i="8"/>
  <c r="EL19" i="8"/>
  <c r="AC11" i="11"/>
  <c r="EQ19" i="8"/>
  <c r="AP12" i="11"/>
  <c r="Y11" i="11"/>
  <c r="AT18" i="17"/>
  <c r="N10" i="11"/>
  <c r="N9" i="11"/>
  <c r="T10" i="21"/>
  <c r="F10" i="10"/>
  <c r="N11" i="11"/>
  <c r="ES19" i="8"/>
  <c r="S19" i="13"/>
  <c r="AG19" i="19"/>
  <c r="F9" i="11"/>
  <c r="CI19" i="8"/>
  <c r="AE19" i="8"/>
  <c r="F17" i="16"/>
  <c r="BL17" i="16" s="1"/>
  <c r="EP19" i="8"/>
  <c r="ER19" i="13"/>
  <c r="AL13" i="16"/>
  <c r="S13" i="16"/>
  <c r="H18" i="16"/>
  <c r="P13" i="16"/>
  <c r="AN13" i="20"/>
  <c r="Z13" i="17"/>
  <c r="M13" i="2"/>
  <c r="AC10" i="11"/>
  <c r="H13" i="12"/>
  <c r="T13" i="12"/>
  <c r="S19" i="8"/>
  <c r="BF15" i="8"/>
  <c r="BD12" i="8"/>
  <c r="H12" i="7" s="1"/>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O16" i="11"/>
  <c r="T20" i="20"/>
  <c r="I20" i="20"/>
  <c r="AD20" i="20"/>
  <c r="M20" i="20"/>
  <c r="W20" i="21"/>
  <c r="W20" i="20"/>
  <c r="AI20" i="20"/>
  <c r="AG20" i="20"/>
  <c r="AU20" i="20"/>
  <c r="Y20" i="20"/>
  <c r="O20" i="20"/>
  <c r="AH20" i="20"/>
  <c r="Q20" i="20"/>
  <c r="H20" i="20"/>
  <c r="N20" i="20"/>
  <c r="U12" i="11"/>
  <c r="R20" i="20"/>
  <c r="T20" i="21"/>
  <c r="AV20" i="20"/>
  <c r="AO20" i="20"/>
  <c r="Z20" i="20"/>
  <c r="F17" i="17" l="1"/>
  <c r="AQ17" i="17" s="1"/>
  <c r="AJ19" i="8"/>
  <c r="F15" i="17"/>
  <c r="AQ15" i="17" s="1"/>
  <c r="F15" i="11"/>
  <c r="AQ15" i="11" s="1"/>
  <c r="BD15" i="8"/>
  <c r="BE15" i="8"/>
  <c r="E18" i="12"/>
  <c r="T19" i="8"/>
  <c r="C18" i="7"/>
  <c r="AW18" i="21"/>
  <c r="BF9" i="8"/>
  <c r="BG9" i="8"/>
  <c r="BE9" i="8"/>
  <c r="F9" i="2"/>
  <c r="E11" i="6"/>
  <c r="K9" i="7"/>
  <c r="H15" i="7"/>
  <c r="H12" i="2"/>
  <c r="C10" i="6"/>
  <c r="L11" i="14"/>
  <c r="E18" i="2"/>
  <c r="F18" i="2" s="1"/>
  <c r="AO17" i="11"/>
  <c r="AL15" i="11"/>
  <c r="L16" i="14"/>
  <c r="M18" i="2"/>
  <c r="N13" i="2"/>
  <c r="N18" i="2"/>
  <c r="AO9" i="11"/>
  <c r="C11" i="6"/>
  <c r="I11" i="12" s="1"/>
  <c r="AO16" i="11"/>
  <c r="AL10" i="11"/>
  <c r="BA18" i="13"/>
  <c r="BF15" i="13"/>
  <c r="BG15" i="8"/>
  <c r="K15" i="7" s="1"/>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K12" i="7"/>
  <c r="AM15" i="11"/>
  <c r="E12" i="6"/>
  <c r="K12" i="12" s="1"/>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I18" i="2"/>
  <c r="J18" i="2" s="1"/>
  <c r="G18" i="2"/>
  <c r="B18" i="6" s="1"/>
  <c r="L17" i="14"/>
  <c r="H11" i="7"/>
  <c r="B11" i="6"/>
  <c r="AL9" i="11"/>
  <c r="AO15" i="17"/>
  <c r="I15" i="7"/>
  <c r="AO15" i="11"/>
  <c r="C16" i="6"/>
  <c r="BI16" i="16"/>
  <c r="H17" i="7"/>
  <c r="AN11" i="11"/>
  <c r="D9" i="6"/>
  <c r="J9" i="12" s="1"/>
  <c r="I12" i="7"/>
  <c r="C9" i="6"/>
  <c r="I9" i="12" s="1"/>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BP20" i="16"/>
  <c r="U17" i="11"/>
  <c r="O10" i="11"/>
  <c r="BR20" i="16"/>
  <c r="I17" i="12" l="1"/>
  <c r="B19" i="7"/>
  <c r="AL18" i="11"/>
  <c r="F19" i="7"/>
  <c r="F18" i="11"/>
  <c r="D19" i="12"/>
  <c r="I10" i="12"/>
  <c r="D19" i="5"/>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L19" i="11" l="1"/>
  <c r="BK19" i="1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<sst xmlns="http://schemas.openxmlformats.org/spreadsheetml/2006/main" count="2102" uniqueCount="918">
  <si>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</si>
  <si>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</si>
  <si>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</si>
  <si>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</si>
  <si>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</si>
  <si>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</si>
  <si>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</si>
  <si>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</si>
  <si>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</si>
  <si>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</si>
  <si>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</si>
  <si>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</si>
  <si>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</si>
  <si>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</si>
  <si>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</si>
  <si>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</si>
  <si>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</si>
  <si>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</si>
  <si>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</si>
  <si>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</si>
  <si>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</si>
  <si>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</si>
  <si>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</si>
  <si>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</si>
  <si>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</si>
  <si>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</si>
  <si>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</si>
  <si>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</si>
  <si>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</si>
  <si>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</si>
  <si>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</si>
  <si>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</si>
  <si>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</si>
  <si>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</si>
  <si>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</si>
  <si>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</si>
  <si>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</si>
  <si>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</si>
  <si>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</si>
  <si>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</si>
  <si>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</si>
  <si>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</si>
  <si>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</si>
  <si>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</si>
  <si>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</si>
  <si>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</si>
  <si>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</si>
  <si>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</si>
  <si>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</si>
  <si>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</si>
  <si>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</si>
  <si>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</si>
  <si>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</si>
  <si>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</si>
  <si>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</si>
  <si>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</si>
  <si>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</si>
  <si>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</si>
  <si>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</si>
  <si>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</si>
  <si>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</si>
  <si>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</si>
  <si>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</si>
  <si>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</si>
  <si>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</si>
  <si>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</si>
  <si>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</si>
  <si>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</si>
  <si>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</si>
  <si>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</si>
  <si>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</si>
  <si>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</si>
  <si>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</si>
  <si>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</si>
  <si>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</si>
  <si>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</si>
  <si>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</si>
  <si>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</si>
  <si>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</si>
  <si>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</si>
  <si>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</si>
  <si>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</si>
  <si>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</si>
  <si>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</si>
  <si>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</si>
  <si>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</si>
  <si>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</si>
  <si>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</si>
  <si>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</si>
  <si>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</si>
  <si>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</si>
  <si>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</si>
  <si>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</si>
  <si>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</si>
  <si>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</si>
  <si>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</si>
  <si>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</si>
  <si>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</si>
  <si>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</si>
  <si>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</si>
  <si>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</si>
  <si>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</si>
  <si>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</si>
  <si>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</si>
  <si>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</si>
  <si>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</si>
  <si>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</si>
  <si>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</si>
  <si>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</si>
  <si>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</si>
  <si>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</si>
  <si>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</si>
  <si>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</si>
  <si>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</si>
  <si>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</si>
  <si>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</si>
  <si>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</si>
  <si>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</si>
  <si>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</si>
  <si>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</si>
  <si>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</si>
  <si>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</si>
  <si>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</si>
  <si>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</si>
  <si>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</si>
  <si>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</si>
  <si>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</si>
  <si>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</si>
  <si>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</si>
  <si>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</si>
  <si>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</si>
  <si>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</si>
  <si>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</si>
  <si>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</si>
  <si>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</si>
  <si>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</si>
  <si>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</si>
  <si>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</si>
  <si>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</si>
  <si>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</si>
  <si>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</si>
  <si>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</si>
  <si>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</si>
  <si>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</si>
  <si>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</si>
  <si>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</si>
  <si>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</si>
  <si>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</si>
  <si>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</si>
  <si>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</si>
  <si>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</si>
  <si>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</si>
  <si>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</si>
  <si>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</si>
  <si>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</si>
  <si>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</si>
  <si>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</si>
  <si>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</si>
  <si>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</si>
  <si>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</si>
  <si>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</si>
  <si>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</si>
  <si>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</si>
  <si>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</si>
  <si>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</si>
  <si>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</si>
  <si>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</si>
  <si>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</si>
  <si>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</si>
  <si>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</si>
  <si>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</si>
  <si>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</si>
  <si>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</si>
  <si>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</si>
  <si>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</si>
  <si>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</si>
  <si>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</si>
  <si>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</si>
  <si>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</si>
  <si>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</si>
  <si>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</si>
  <si>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</si>
  <si>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</si>
  <si>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</si>
  <si>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</si>
  <si>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</si>
  <si>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</si>
  <si>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</si>
  <si>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</si>
  <si>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</si>
  <si>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</si>
  <si>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</si>
  <si>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</si>
  <si>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</si>
  <si>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</si>
  <si>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</si>
  <si>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</si>
  <si>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</si>
  <si>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</si>
  <si>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</si>
  <si>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</si>
  <si>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</si>
  <si>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</si>
  <si>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</si>
  <si>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</si>
  <si>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</si>
  <si>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</si>
  <si>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</si>
  <si>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</si>
  <si>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</si>
  <si>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</si>
  <si>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</si>
  <si>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</si>
  <si>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</si>
  <si>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</si>
  <si>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</si>
  <si>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</si>
  <si>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</si>
  <si>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</si>
  <si>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</si>
  <si>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</si>
  <si>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</si>
  <si>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</si>
  <si>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</si>
  <si>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</si>
  <si>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</si>
  <si>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</si>
  <si>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</si>
  <si>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</si>
  <si>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</si>
  <si>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</si>
  <si>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</si>
  <si>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</si>
  <si>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</si>
  <si>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</si>
  <si>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</si>
  <si>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</si>
  <si>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</si>
  <si>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</si>
  <si>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</si>
  <si>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</si>
  <si>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</si>
  <si>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</si>
  <si>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</si>
  <si>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</si>
  <si>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</si>
  <si>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</si>
  <si>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</si>
  <si>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</si>
  <si>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</si>
  <si>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</si>
  <si>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</si>
  <si>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</si>
  <si>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</si>
  <si>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</si>
  <si>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</si>
  <si>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</si>
  <si>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</si>
  <si>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</si>
  <si>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</si>
  <si>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</si>
  <si>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</si>
  <si>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</si>
  <si>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</si>
  <si>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</si>
  <si>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</si>
  <si>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</si>
  <si>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</si>
  <si>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</si>
  <si>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</si>
  <si>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</si>
  <si>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</si>
  <si>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</si>
  <si>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</si>
  <si>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</si>
  <si>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</si>
  <si>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</si>
  <si>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</si>
  <si>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</si>
  <si>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</si>
  <si>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</si>
  <si>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</si>
  <si>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</si>
  <si>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</si>
  <si>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</si>
  <si>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</si>
  <si>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</si>
  <si>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</si>
  <si>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</si>
  <si>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</si>
  <si>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</si>
  <si>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</si>
  <si>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</si>
  <si>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</si>
  <si>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</si>
  <si>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</si>
  <si>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</si>
  <si>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</si>
  <si>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</si>
  <si>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</si>
  <si>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</si>
  <si>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</si>
  <si>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</si>
  <si>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</si>
  <si>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</si>
  <si>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</si>
  <si>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</si>
  <si>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</si>
  <si>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</si>
  <si>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</si>
  <si>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</si>
  <si>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</si>
  <si>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</si>
  <si>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</si>
  <si>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</si>
  <si>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</si>
  <si>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</si>
  <si>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</si>
  <si>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</si>
  <si>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</si>
  <si>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</si>
  <si>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</si>
  <si>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</si>
  <si>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</si>
  <si>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</si>
  <si>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</si>
  <si>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</si>
  <si>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</si>
  <si>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</si>
  <si>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</si>
  <si>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</si>
  <si>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</si>
  <si>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</si>
  <si>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</si>
  <si>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</si>
  <si>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</si>
  <si>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</si>
  <si>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</si>
  <si>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</si>
  <si>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</si>
  <si>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</si>
  <si>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</si>
  <si>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</si>
  <si>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</si>
  <si>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</si>
  <si>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</si>
  <si>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</si>
  <si>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</si>
  <si>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</si>
  <si>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</si>
  <si>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</si>
  <si>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</si>
  <si>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</si>
  <si>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</si>
  <si>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</si>
  <si>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</si>
  <si>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</si>
  <si>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</si>
  <si>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</si>
  <si>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</si>
  <si>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</si>
  <si>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</si>
  <si>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</si>
  <si>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</si>
  <si>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</si>
  <si>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</si>
  <si>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</si>
  <si>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</si>
  <si>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</si>
  <si>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</si>
  <si>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</si>
  <si>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</si>
  <si>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</si>
  <si>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</si>
  <si>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</si>
  <si>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</si>
  <si>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</si>
  <si>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</si>
  <si>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</si>
  <si>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</si>
  <si>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</si>
  <si>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</si>
  <si>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</si>
  <si>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</si>
  <si>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</si>
  <si>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</si>
  <si>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</si>
  <si>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</si>
  <si>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</si>
  <si>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</si>
  <si>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</si>
  <si>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</si>
  <si>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</si>
  <si>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</si>
  <si>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</si>
  <si>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</si>
  <si>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</si>
  <si>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</si>
  <si>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</si>
  <si>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</si>
  <si>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</si>
  <si>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</si>
  <si>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</si>
  <si>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</si>
  <si>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</si>
  <si>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</si>
  <si>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</si>
  <si>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</si>
  <si>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</si>
  <si>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</si>
  <si>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</si>
  <si>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</si>
  <si>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</si>
  <si>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</si>
  <si>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</si>
  <si>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</si>
  <si>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</si>
  <si>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</si>
  <si>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</si>
  <si>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</si>
  <si>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</si>
  <si>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</si>
  <si>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</si>
  <si>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</si>
  <si>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</si>
  <si>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</si>
  <si>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</si>
  <si>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</si>
  <si>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</si>
  <si>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</si>
  <si>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</si>
  <si>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</si>
  <si>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</si>
  <si>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</si>
  <si>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</si>
  <si>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</si>
  <si>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</si>
  <si>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</si>
  <si>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</si>
  <si>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</si>
  <si>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</si>
  <si>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</si>
  <si>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</si>
  <si>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</si>
  <si>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</si>
  <si>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</si>
  <si>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</si>
  <si>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</si>
  <si>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</si>
  <si>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</si>
  <si>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</si>
  <si>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</si>
  <si>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</si>
  <si>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</si>
  <si>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</si>
  <si>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</si>
  <si>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</si>
  <si>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</si>
  <si>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</si>
  <si>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</si>
  <si>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</si>
  <si>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</si>
  <si>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</si>
  <si>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</si>
  <si>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</si>
  <si>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</si>
  <si>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</si>
  <si>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</si>
  <si>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</si>
  <si>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</si>
  <si>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</si>
  <si>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</si>
  <si>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</si>
  <si>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</si>
  <si>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</si>
  <si>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</si>
  <si>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</si>
  <si>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</si>
  <si>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</si>
  <si>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</si>
  <si>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</si>
  <si>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</si>
  <si>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</si>
  <si>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</si>
  <si>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</si>
  <si>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</si>
  <si>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</si>
  <si>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</si>
  <si>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</si>
  <si>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</si>
  <si>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</si>
  <si>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</si>
  <si>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</si>
  <si>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</si>
  <si>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</si>
  <si>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</si>
  <si>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</si>
  <si>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</si>
  <si>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</si>
  <si>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</si>
  <si>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</si>
  <si>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</si>
  <si>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</si>
  <si>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</si>
  <si>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</si>
  <si>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</si>
  <si>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</si>
  <si>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</si>
  <si>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</si>
  <si>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</si>
  <si>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</si>
  <si>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</si>
  <si>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</si>
  <si>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</si>
  <si>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</si>
  <si>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</si>
  <si>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</si>
  <si>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</si>
  <si>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</si>
  <si>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</si>
  <si>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</si>
  <si>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</si>
  <si>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</si>
  <si>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</si>
  <si>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</si>
  <si>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</si>
  <si>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</si>
  <si>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</si>
  <si>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</si>
  <si>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</si>
  <si>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</si>
  <si>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</si>
  <si>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</si>
  <si>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</si>
  <si>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</si>
  <si>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</si>
  <si>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</si>
  <si>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</si>
  <si>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</si>
  <si>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</si>
  <si>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</si>
  <si>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</si>
  <si>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</si>
  <si>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</si>
  <si>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</si>
  <si>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</si>
  <si>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</si>
  <si>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</si>
  <si>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</si>
  <si>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</si>
  <si>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</si>
  <si>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</si>
  <si>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</si>
  <si>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</si>
  <si>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</si>
  <si>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</si>
  <si>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</si>
  <si>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</si>
  <si>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</si>
  <si>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</si>
  <si>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</si>
  <si>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</si>
  <si>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</si>
  <si>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</si>
  <si>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</si>
  <si>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</si>
  <si>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</si>
  <si>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</si>
  <si>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</si>
  <si>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</si>
  <si>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</si>
  <si>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</si>
  <si>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</si>
  <si>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</si>
  <si>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</si>
  <si>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</si>
  <si>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</si>
  <si>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</si>
  <si>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</si>
  <si>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</si>
  <si>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</si>
  <si>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</si>
  <si>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</si>
  <si>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</si>
  <si>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</si>
  <si>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</si>
  <si>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</si>
  <si>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</si>
  <si>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</si>
  <si>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</si>
  <si>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</si>
  <si>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</si>
  <si>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</si>
  <si>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</si>
  <si>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</si>
  <si>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</si>
  <si>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</si>
  <si>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</si>
  <si>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</si>
  <si>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</si>
  <si>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</si>
  <si>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</si>
  <si>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</si>
  <si>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</si>
  <si>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</si>
  <si>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</si>
  <si>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</si>
  <si>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</si>
  <si>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</si>
  <si>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</si>
  <si>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</si>
  <si>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</si>
  <si>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</si>
  <si>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</si>
  <si>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</si>
  <si>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</si>
  <si>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</si>
  <si>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</si>
  <si>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</si>
  <si>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</si>
  <si>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</si>
  <si>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</si>
  <si>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</si>
  <si>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</si>
  <si>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</si>
  <si>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</si>
  <si>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</si>
  <si>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</si>
  <si>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</si>
  <si>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</si>
  <si>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</si>
  <si>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</si>
  <si>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</si>
  <si>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</si>
  <si>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</si>
  <si>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</si>
  <si>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</si>
  <si>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</si>
  <si>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</si>
  <si>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</si>
  <si>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</si>
  <si>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</si>
  <si>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</si>
  <si>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</si>
  <si>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</si>
  <si>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</si>
  <si>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</si>
  <si>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</si>
  <si>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</si>
  <si>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</si>
  <si>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</si>
  <si>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</si>
  <si>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</si>
  <si>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</si>
  <si>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</si>
  <si>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</si>
  <si>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</si>
  <si>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</si>
  <si>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</si>
  <si>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</si>
  <si>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</si>
  <si>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</si>
  <si>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</si>
  <si>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</si>
  <si>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</si>
  <si>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</si>
  <si>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</si>
  <si>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</si>
  <si>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</si>
  <si>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</si>
  <si>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</si>
  <si>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</si>
  <si>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</si>
  <si>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</si>
  <si>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</si>
  <si>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</si>
  <si>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</si>
  <si>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</si>
  <si>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</si>
  <si>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</si>
  <si>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</si>
  <si>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</si>
  <si>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</si>
  <si>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</si>
  <si>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</si>
  <si>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</si>
  <si>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</si>
  <si>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</si>
  <si>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</si>
  <si>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</si>
  <si>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</si>
  <si>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</si>
  <si>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</si>
  <si>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</si>
  <si>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</si>
  <si>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</si>
  <si>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</si>
  <si>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</si>
  <si>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</si>
  <si>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</si>
  <si>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</si>
  <si>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</si>
  <si>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</si>
  <si>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</si>
  <si>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</si>
  <si>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</si>
  <si>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</si>
  <si>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</si>
  <si>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</si>
  <si>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</si>
  <si>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</si>
  <si>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</si>
  <si>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</si>
  <si>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</si>
  <si>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</si>
  <si>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</si>
  <si>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</si>
  <si>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</si>
  <si>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</si>
  <si>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</si>
  <si>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</si>
  <si>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</si>
  <si>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</si>
  <si>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</si>
  <si>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</si>
  <si>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</si>
  <si>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</si>
  <si>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</si>
  <si>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</si>
  <si>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</si>
  <si>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</si>
  <si>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</si>
  <si>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</si>
  <si>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</si>
  <si>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</si>
  <si>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</si>
  <si>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</si>
  <si>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</si>
  <si>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</si>
  <si>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</si>
  <si>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</si>
  <si>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</si>
  <si>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</si>
  <si>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</si>
  <si>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</si>
  <si>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</si>
  <si>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</si>
  <si>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</si>
  <si>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</si>
  <si>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</si>
  <si>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</si>
  <si>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</si>
  <si>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</si>
  <si>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</si>
  <si>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</si>
  <si>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</si>
  <si>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</si>
  <si>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</si>
  <si>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</si>
  <si>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</si>
  <si>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</si>
  <si>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</si>
  <si>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</si>
  <si>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</si>
  <si>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</si>
  <si>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</si>
  <si>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</si>
  <si>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</si>
  <si>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</si>
  <si>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</si>
  <si>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</si>
  <si>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</si>
  <si>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</si>
  <si>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</si>
  <si>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</si>
  <si>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</si>
  <si>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</si>
  <si>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</si>
  <si>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</si>
  <si>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</si>
  <si>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</si>
  <si>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</si>
  <si>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</si>
  <si>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</si>
  <si>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</si>
  <si>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</si>
  <si>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</si>
  <si>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</si>
  <si>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</si>
  <si>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</si>
  <si>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</si>
  <si>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</si>
  <si>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</si>
  <si>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</si>
  <si>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</si>
  <si>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</si>
  <si>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</si>
  <si>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</si>
  <si>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</si>
  <si>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</si>
  <si>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</si>
  <si>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</si>
  <si>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</si>
  <si>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</si>
  <si>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</si>
  <si>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</si>
  <si>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</si>
  <si>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</si>
  <si>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</si>
  <si>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</si>
  <si>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</si>
  <si>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</si>
  <si>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</si>
  <si>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</si>
  <si>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</si>
  <si>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</si>
  <si>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</si>
  <si>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</si>
  <si>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</si>
  <si>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</si>
  <si>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</si>
  <si>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</si>
  <si>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</si>
  <si>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</si>
  <si>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</si>
  <si>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</si>
  <si>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</si>
  <si>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</si>
  <si>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</si>
  <si>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</si>
  <si>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</si>
  <si>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</si>
  <si>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</si>
  <si>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</si>
  <si>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</si>
  <si>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</si>
  <si>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</si>
  <si>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</si>
  <si>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</si>
  <si>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</si>
  <si>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</si>
  <si>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</si>
  <si>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</si>
  <si>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</si>
  <si>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</si>
  <si>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</si>
  <si>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</si>
  <si>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</si>
  <si>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</si>
  <si>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</si>
  <si>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</si>
  <si>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</si>
  <si>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</si>
  <si>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</si>
  <si>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</si>
  <si>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</si>
  <si>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</si>
  <si>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</si>
  <si>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</si>
  <si>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</si>
  <si>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</si>
  <si>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</si>
  <si>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</si>
  <si>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</si>
  <si>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</si>
  <si>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</si>
  <si>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</si>
  <si>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</si>
  <si>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</si>
  <si>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</si>
  <si>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</si>
  <si>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</si>
  <si>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</si>
  <si>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</si>
  <si>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</si>
  <si>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</si>
  <si>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</si>
  <si>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</si>
  <si>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</si>
  <si>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</si>
  <si>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</si>
  <si>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</si>
  <si>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</si>
  <si>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</si>
  <si>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</si>
  <si>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</si>
  <si>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</si>
  <si>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</si>
  <si>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</si>
  <si>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</si>
  <si>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</si>
  <si>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</si>
  <si>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</si>
  <si>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</si>
  <si>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</si>
  <si>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</si>
  <si>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</si>
  <si>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</si>
  <si>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</si>
  <si>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</si>
  <si>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</si>
  <si>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</si>
  <si>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</si>
  <si>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</si>
  <si>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</si>
  <si>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</si>
  <si>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</si>
  <si>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</si>
  <si>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</si>
  <si>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</si>
  <si>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</si>
  <si>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</si>
  <si>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</si>
  <si>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</si>
  <si>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</si>
  <si>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VALENCIA</t>
  </si>
  <si>
    <t>Resumenes por Partidos Judiciales</t>
  </si>
  <si>
    <t>GANDIA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</si>
</sst>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oRwGg1Y0yCzpMATrzLmvzf1Aq6AKp5+mbike665GGfNsKkwfGEkfBcEDLh8S+iAgl+XphvLyHHBbLlrTUyJ+g==" saltValue="wGHjYfFx+hbYPOm08Xj9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4.3533906399235907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77</v>
      </c>
      <c r="D10" s="224">
        <f>IF(ISNUMBER(Datos!I10),Datos!I10," - ")</f>
        <v>77</v>
      </c>
      <c r="E10" s="225">
        <f>IF(ISNUMBER(Datos!J10),Datos!J10," - ")</f>
        <v>123</v>
      </c>
      <c r="F10" s="225">
        <f>IF(ISNUMBER(Datos!K10),Datos!K10," - ")</f>
        <v>103</v>
      </c>
      <c r="G10" s="1033" t="str">
        <f>IF(Datos!E10&lt;&gt;"",Datos!E10,Datos!D10)</f>
        <v>37</v>
      </c>
      <c r="H10" s="226">
        <f>IF(ISNUMBER(Datos!L10),Datos!L10," - ")</f>
        <v>97</v>
      </c>
      <c r="I10" s="1043" t="str">
        <f>IF(ISNUMBER(Datos!AS10/Datos!BM10),Datos!AS10/Datos!BM10," - ")</f>
        <v xml:space="preserve"> - </v>
      </c>
      <c r="J10" s="1044">
        <f>IF(ISNUMBER(Datos!BY10/Datos!CN10),Datos!BY10/Datos!CN10," - ")</f>
        <v>0</v>
      </c>
      <c r="K10" s="229">
        <f t="shared" ref="K10:K12" si="1">IF(ISNUMBER((E10-F10)/C10),(E10-F10)/C10," - ")</f>
        <v>0.25974025974025972</v>
      </c>
      <c r="L10" s="1024">
        <f>IF(ISNUMBER(NºAsuntos!I10/NºAsuntos!G10),(NºAsuntos!I10/NºAsuntos!G10)*11," - ")</f>
        <v>10.359223300970875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77</v>
      </c>
      <c r="D13" s="1048">
        <f>SUBTOTAL(9,D9:D12)</f>
        <v>77</v>
      </c>
      <c r="E13" s="1049">
        <f>SUBTOTAL(9,E9:E12)</f>
        <v>123</v>
      </c>
      <c r="F13" s="1050">
        <f>SUBTOTAL(9,F9:F12)</f>
        <v>103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2515</v>
      </c>
      <c r="D15" s="224">
        <f>IF(ISNUMBER(IF(D_I="SI",Datos!I15,Datos!I15+Datos!AC15)),IF(D_I="SI",Datos!I15,Datos!I15+Datos!AC15)," - ")</f>
        <v>2246</v>
      </c>
      <c r="E15" s="225">
        <f>IF(ISNUMBER(IF(D_I="SI",Datos!J15,Datos!J15+Datos!AD15)),IF(D_I="SI",Datos!J15,Datos!J15+Datos!AD15)," - ")</f>
        <v>8743</v>
      </c>
      <c r="F15" s="225">
        <f>IF(ISNUMBER(IF(D_I="SI",Datos!K15,Datos!K15+Datos!AE15)),IF(D_I="SI",Datos!K15,Datos!K15+Datos!AE15)," - ")</f>
        <v>8608</v>
      </c>
      <c r="G15" s="1033" t="str">
        <f>IF(Datos!E15&lt;&gt;"",Datos!E15,Datos!D15)</f>
        <v>03</v>
      </c>
      <c r="H15" s="226">
        <f>IF(ISNUMBER(IF(D_I="SI",Datos!L15,Datos!L15+Datos!AF15)),IF(D_I="SI",Datos!L15,Datos!L15+Datos!AF15)," - ")</f>
        <v>2650</v>
      </c>
      <c r="I15" s="1043" t="str">
        <f>IF(ISNUMBER(Datos!AS15/Datos!BM15),Datos!AS15/Datos!BM15," - ")</f>
        <v xml:space="preserve"> - </v>
      </c>
      <c r="J15" s="1044">
        <f>IF(ISNUMBER(Datos!BY15/Datos!CN15),Datos!BY15/Datos!CN15," - ")</f>
        <v>0</v>
      </c>
      <c r="K15" s="229">
        <f t="shared" ref="K15:K17" si="3">IF(ISNUMBER((E15-F15)/C15),(E15-F15)/C15," - ")</f>
        <v>5.3677932405566599E-2</v>
      </c>
      <c r="L15" s="1024">
        <f>IF(ISNUMBER(NºAsuntos!I15/NºAsuntos!G15),(NºAsuntos!I15/NºAsuntos!G15)*11," - ")</f>
        <v>3.3863847583643123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118</v>
      </c>
      <c r="D17" s="224">
        <f>IF(ISNUMBER(IF(D_I="SI",Datos!I17,Datos!I17+Datos!AC17)),IF(D_I="SI",Datos!I17,Datos!I17+Datos!AC17)," - ")</f>
        <v>118</v>
      </c>
      <c r="E17" s="225">
        <f>IF(ISNUMBER(IF(D_I="SI",Datos!J17,Datos!J17+Datos!AD17)),IF(D_I="SI",Datos!J17,Datos!J17+Datos!AD17)," - ")</f>
        <v>961</v>
      </c>
      <c r="F17" s="225">
        <f>IF(ISNUMBER(IF(D_I="SI",Datos!K17,Datos!K17+Datos!AE17)),IF(D_I="SI",Datos!K17,Datos!K17+Datos!AE17)," - ")</f>
        <v>997</v>
      </c>
      <c r="G17" s="1033" t="str">
        <f>IF(Datos!E17&lt;&gt;"",Datos!E17,Datos!D17)</f>
        <v>37</v>
      </c>
      <c r="H17" s="226">
        <f>IF(ISNUMBER(IF(D_I="SI",Datos!L17,Datos!L17+Datos!AF17)),IF(D_I="SI",Datos!L17,Datos!L17+Datos!AF17)," - ")</f>
        <v>82</v>
      </c>
      <c r="I17" s="1043" t="str">
        <f>IF(ISNUMBER(Datos!AS17/Datos!BM17),Datos!AS17/Datos!BM17," - ")</f>
        <v xml:space="preserve"> - </v>
      </c>
      <c r="J17" s="1044" t="str">
        <f>IF(ISNUMBER((Datos!BY17+Datos!BZ17)/Datos!CN17),(Datos!BY17+Datos!BZ17)/Datos!CN17," - ")</f>
        <v xml:space="preserve"> - </v>
      </c>
      <c r="K17" s="229">
        <f t="shared" si="3"/>
        <v>-0.30508474576271188</v>
      </c>
      <c r="L17" s="1024">
        <f>IF(ISNUMBER(NºAsuntos!I17/NºAsuntos!G17),(NºAsuntos!I17/NºAsuntos!G17)*11," - ")</f>
        <v>0.90471414242728188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2633</v>
      </c>
      <c r="D18" s="1048">
        <f>SUBTOTAL(9,D15:D17)</f>
        <v>2364</v>
      </c>
      <c r="E18" s="1049">
        <f>SUBTOTAL(9,E15:E17)</f>
        <v>9704</v>
      </c>
      <c r="F18" s="1049">
        <f>SUBTOTAL(9,F15:F17)</f>
        <v>9605</v>
      </c>
      <c r="G18" s="1051" t="str">
        <f ca="1">INDIRECT(CONCATENATE("G",ROW()-1))</f>
        <v>37</v>
      </c>
      <c r="H18" s="1052">
        <f ca="1">SUMIF(G$14:G17,G18,H$14:H17)</f>
        <v>82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2710</v>
      </c>
      <c r="D19" s="1070">
        <f>SUBTOTAL(9,D9:D18)</f>
        <v>2441</v>
      </c>
      <c r="E19" s="1071">
        <f>SUBTOTAL(9,E9:E18)</f>
        <v>9827</v>
      </c>
      <c r="F19" s="1071">
        <f>SUBTOTAL(9,F9:F18)</f>
        <v>9708</v>
      </c>
      <c r="G19" s="1072"/>
      <c r="H19" s="1073">
        <f ca="1">SUMIF(B9:B18,"TOTAL",H9:H18)</f>
        <v>82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cSzpgB2FQqnLDX9j0bjGmCWm/hmgvRvYXZ3gNl0f2zss4UUEYRHHUKmQplZPhJRJvQFQ2VxyltDbxHDTgIcEA==" saltValue="43s8r8XeDW/vDdeOoncmq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rQ4itIUBviD72U+xQlrfHcFUq+nQoUkI/4FTB7IpWYKI/Zx55BKOkETamjPcBd4U7FtG93ms7lIc6472ui+Q==" saltValue="SLmoCtm1EZB+Ezwrb6vD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5194</v>
      </c>
      <c r="J9" s="180">
        <v>9864</v>
      </c>
      <c r="K9" s="180">
        <v>10805</v>
      </c>
      <c r="L9" s="180">
        <v>4287</v>
      </c>
      <c r="M9" s="180">
        <v>2261</v>
      </c>
      <c r="N9" s="180">
        <v>4784</v>
      </c>
      <c r="O9" s="180">
        <v>5848</v>
      </c>
      <c r="P9" s="180">
        <v>2307</v>
      </c>
      <c r="Q9" s="180">
        <v>3201</v>
      </c>
      <c r="R9" s="180">
        <v>7761</v>
      </c>
      <c r="S9" s="180">
        <v>4104</v>
      </c>
      <c r="T9" s="180">
        <v>10661</v>
      </c>
      <c r="U9" s="180">
        <v>9571</v>
      </c>
      <c r="V9" s="180">
        <v>5194</v>
      </c>
      <c r="W9" s="180">
        <v>1955</v>
      </c>
      <c r="X9" s="187">
        <v>4228</v>
      </c>
      <c r="Y9" s="190">
        <v>198</v>
      </c>
      <c r="Z9" s="180">
        <v>754</v>
      </c>
      <c r="AA9" s="180">
        <v>712</v>
      </c>
      <c r="AB9" s="180">
        <v>271</v>
      </c>
      <c r="AC9" s="180">
        <v>0</v>
      </c>
      <c r="AD9" s="180">
        <v>0</v>
      </c>
      <c r="AE9" s="180">
        <v>0</v>
      </c>
      <c r="AF9" s="187">
        <v>0</v>
      </c>
      <c r="AG9" s="190">
        <v>181</v>
      </c>
      <c r="AH9" s="180">
        <v>743</v>
      </c>
      <c r="AI9" s="180">
        <v>726</v>
      </c>
      <c r="AJ9" s="191">
        <v>198</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4285</v>
      </c>
      <c r="AZ9" s="123">
        <f>IF(ISNUMBER(IF(J_V="SI",T9,T9+AH9)),IF(J_V="SI",T9,T9+AH9)," - ")</f>
        <v>11404</v>
      </c>
      <c r="BA9" s="124">
        <f>IF(ISNUMBER(IF(J_V="SI",U9,U9+AI9)),IF(J_V="SI",U9,U9+AI9)," - ")</f>
        <v>10297</v>
      </c>
      <c r="BB9" s="124">
        <f>IF(ISNUMBER(IF(J_V="SI",V9,V9+AJ9)),IF(J_V="SI",V9,V9+AJ9)," - ")</f>
        <v>5392</v>
      </c>
      <c r="BC9" s="125">
        <f>IF(ISNUMBER(X9),X9," - ")</f>
        <v>4228</v>
      </c>
      <c r="BD9" s="126">
        <f>IF(ISNUMBER(BA9/AZ9),BA9/AZ9," - ")</f>
        <v>0.9029287969133637</v>
      </c>
      <c r="BE9" s="127">
        <f>IF(ISNUMBER(BB9/BA9),BB9/BA9, " - ")</f>
        <v>0.5236476643682626</v>
      </c>
      <c r="BF9" s="127">
        <f>IF(ISNUMBER(BC9/BA9),BC9/BA9, " - ")</f>
        <v>0.41060503059143438</v>
      </c>
      <c r="BG9" s="195">
        <f>IF(ISNUMBER((AY9+AZ9)/BA9),(AY9+AZ9)/BA9," - ")</f>
        <v>1.5236476643682626</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77</v>
      </c>
      <c r="J10" s="180">
        <v>123</v>
      </c>
      <c r="K10" s="180">
        <v>103</v>
      </c>
      <c r="L10" s="180">
        <v>97</v>
      </c>
      <c r="M10" s="180">
        <v>48</v>
      </c>
      <c r="N10" s="180">
        <v>28</v>
      </c>
      <c r="O10" s="180">
        <v>34</v>
      </c>
      <c r="P10" s="180">
        <v>15</v>
      </c>
      <c r="Q10" s="180">
        <v>16</v>
      </c>
      <c r="R10" s="180">
        <v>80</v>
      </c>
      <c r="S10" s="180">
        <v>92</v>
      </c>
      <c r="T10" s="180">
        <v>93</v>
      </c>
      <c r="U10" s="180">
        <v>108</v>
      </c>
      <c r="V10" s="180">
        <v>77</v>
      </c>
      <c r="W10" s="180">
        <v>65</v>
      </c>
      <c r="X10" s="187">
        <v>32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92</v>
      </c>
      <c r="AZ10" s="129">
        <f t="shared" si="0"/>
        <v>93</v>
      </c>
      <c r="BA10" s="129">
        <f t="shared" si="0"/>
        <v>108</v>
      </c>
      <c r="BB10" s="129">
        <f t="shared" si="0"/>
        <v>77</v>
      </c>
      <c r="BC10" s="125">
        <f t="shared" si="0"/>
        <v>65</v>
      </c>
      <c r="BD10" s="126">
        <f>IF(ISNUMBER(BA10/AZ10),BA10/AZ10," - ")</f>
        <v>1.1612903225806452</v>
      </c>
      <c r="BE10" s="127">
        <f>IF(ISNUMBER(BB10/BA10),BB10/BA10, " - ")</f>
        <v>0.71296296296296291</v>
      </c>
      <c r="BF10" s="127">
        <f>IF(ISNUMBER(BC10/BA10),BC10/BA10, " - ")</f>
        <v>0.60185185185185186</v>
      </c>
      <c r="BG10" s="195">
        <f>IF(ISNUMBER((AY10+AZ10)/BA10),(AY10+AZ10)/BA10," - ")</f>
        <v>1.712962962962963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5271</v>
      </c>
      <c r="J13" s="183">
        <f t="shared" si="6"/>
        <v>9987</v>
      </c>
      <c r="K13" s="183">
        <f t="shared" si="6"/>
        <v>10908</v>
      </c>
      <c r="L13" s="183">
        <f t="shared" si="6"/>
        <v>4384</v>
      </c>
      <c r="M13" s="183">
        <f t="shared" si="6"/>
        <v>2309</v>
      </c>
      <c r="N13" s="183">
        <f t="shared" si="6"/>
        <v>4812</v>
      </c>
      <c r="O13" s="183">
        <f t="shared" si="6"/>
        <v>5882</v>
      </c>
      <c r="P13" s="183">
        <f t="shared" si="6"/>
        <v>2322</v>
      </c>
      <c r="Q13" s="183">
        <f t="shared" si="6"/>
        <v>3217</v>
      </c>
      <c r="R13" s="183">
        <f t="shared" si="6"/>
        <v>7841</v>
      </c>
      <c r="S13" s="183">
        <f t="shared" si="6"/>
        <v>4196</v>
      </c>
      <c r="T13" s="183">
        <f t="shared" si="6"/>
        <v>10754</v>
      </c>
      <c r="U13" s="183">
        <f t="shared" si="6"/>
        <v>9679</v>
      </c>
      <c r="V13" s="183">
        <f t="shared" si="6"/>
        <v>5271</v>
      </c>
      <c r="W13" s="183">
        <f t="shared" si="6"/>
        <v>2020</v>
      </c>
      <c r="X13" s="183">
        <f t="shared" si="6"/>
        <v>4260</v>
      </c>
      <c r="Y13" s="183">
        <f t="shared" si="6"/>
        <v>198</v>
      </c>
      <c r="Z13" s="183">
        <f t="shared" si="6"/>
        <v>754</v>
      </c>
      <c r="AA13" s="183">
        <f t="shared" si="6"/>
        <v>712</v>
      </c>
      <c r="AB13" s="183">
        <f t="shared" si="6"/>
        <v>271</v>
      </c>
      <c r="AC13" s="183">
        <f t="shared" si="6"/>
        <v>0</v>
      </c>
      <c r="AD13" s="183">
        <f t="shared" si="6"/>
        <v>0</v>
      </c>
      <c r="AE13" s="183">
        <f t="shared" si="6"/>
        <v>0</v>
      </c>
      <c r="AF13" s="183">
        <f>SUBTOTAL(9,AF9:AF12)</f>
        <v>0</v>
      </c>
      <c r="AG13" s="183">
        <f t="shared" ref="AG13:AT13" si="7">SUBTOTAL(9,AG8:AG12)</f>
        <v>181</v>
      </c>
      <c r="AH13" s="183">
        <f t="shared" si="7"/>
        <v>743</v>
      </c>
      <c r="AI13" s="183">
        <f t="shared" si="7"/>
        <v>726</v>
      </c>
      <c r="AJ13" s="183">
        <f t="shared" si="7"/>
        <v>198</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4377</v>
      </c>
      <c r="AZ13" s="183">
        <f>SUBTOTAL(9,AZ8:AZ12)</f>
        <v>11497</v>
      </c>
      <c r="BA13" s="183">
        <f>SUBTOTAL(9,BA8:BA12)</f>
        <v>10405</v>
      </c>
      <c r="BB13" s="183">
        <f>SUBTOTAL(9,BB8:BB12)</f>
        <v>5469</v>
      </c>
      <c r="BC13" s="183">
        <f>SUBTOTAL(9,BC8:BC12)</f>
        <v>4293</v>
      </c>
      <c r="BD13" s="204">
        <f>IF(ISNUMBER(BA13/AZ13),BA13/AZ13," - ")</f>
        <v>0.90501870053057321</v>
      </c>
      <c r="BE13" s="205">
        <f>IF(ISNUMBER(BB13/BA13),BB13/BA13, " - ")</f>
        <v>0.52561268620855361</v>
      </c>
      <c r="BF13" s="205">
        <f>IF(ISNUMBER(BC13/BA13),BC13/BA13, " - ")</f>
        <v>0.41259010091302256</v>
      </c>
      <c r="BG13" s="206">
        <f>IF(ISNUMBER((AY13+AZ13)/BA13),(AY13+AZ13)/BA13," - ")</f>
        <v>1.5256126862085535</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2246</v>
      </c>
      <c r="J15" s="182">
        <v>8743</v>
      </c>
      <c r="K15" s="182">
        <v>8608</v>
      </c>
      <c r="L15" s="182">
        <v>2650</v>
      </c>
      <c r="M15" s="182">
        <v>1659</v>
      </c>
      <c r="N15" s="182">
        <v>4602</v>
      </c>
      <c r="O15" s="180">
        <v>296</v>
      </c>
      <c r="P15" s="182">
        <v>522</v>
      </c>
      <c r="Q15" s="182">
        <v>464</v>
      </c>
      <c r="R15" s="182">
        <v>371</v>
      </c>
      <c r="S15" s="182">
        <v>2012</v>
      </c>
      <c r="T15" s="182">
        <v>9305</v>
      </c>
      <c r="U15" s="182">
        <v>9165</v>
      </c>
      <c r="V15" s="182">
        <v>2246</v>
      </c>
      <c r="W15" s="182">
        <v>1810</v>
      </c>
      <c r="X15" s="188">
        <v>4668</v>
      </c>
      <c r="Y15" s="201">
        <v>0</v>
      </c>
      <c r="Z15" s="182">
        <v>0</v>
      </c>
      <c r="AA15" s="182">
        <v>0</v>
      </c>
      <c r="AB15" s="182">
        <v>0</v>
      </c>
      <c r="AC15" s="182">
        <v>0</v>
      </c>
      <c r="AD15" s="182">
        <v>203</v>
      </c>
      <c r="AE15" s="182">
        <v>198</v>
      </c>
      <c r="AF15" s="188">
        <v>5</v>
      </c>
      <c r="AG15" s="201">
        <v>0</v>
      </c>
      <c r="AH15" s="182">
        <v>0</v>
      </c>
      <c r="AI15" s="182">
        <v>0</v>
      </c>
      <c r="AJ15" s="202">
        <v>0</v>
      </c>
      <c r="AK15" s="181">
        <v>0</v>
      </c>
      <c r="AL15" s="182">
        <v>3</v>
      </c>
      <c r="AM15" s="182">
        <v>3</v>
      </c>
      <c r="AN15" s="188">
        <v>0</v>
      </c>
      <c r="AO15" s="258">
        <v>3</v>
      </c>
      <c r="AP15" s="154">
        <v>3</v>
      </c>
      <c r="AQ15" s="154">
        <v>3</v>
      </c>
      <c r="AR15" s="154">
        <v>3</v>
      </c>
      <c r="AS15" s="339" t="s">
        <v>522</v>
      </c>
      <c r="AT15" s="202" t="s">
        <v>326</v>
      </c>
      <c r="AU15" s="201"/>
      <c r="AV15" s="202"/>
      <c r="AW15" s="201"/>
      <c r="AX15" s="202"/>
      <c r="AY15" s="128">
        <f t="shared" ref="AY15:BB16" si="9">IF(ISNUMBER(IF(D_I="SI",S15,S15+AK15)),IF(D_I="SI",S15,S15+AK15)," - ")</f>
        <v>2012</v>
      </c>
      <c r="AZ15" s="129">
        <f t="shared" si="9"/>
        <v>9305</v>
      </c>
      <c r="BA15" s="129">
        <f t="shared" si="9"/>
        <v>9165</v>
      </c>
      <c r="BB15" s="129">
        <f t="shared" si="9"/>
        <v>2246</v>
      </c>
      <c r="BC15" s="125">
        <f>IF(ISNUMBER(W15),W15," - ")</f>
        <v>1810</v>
      </c>
      <c r="BD15" s="126">
        <f>IF(ISNUMBER(BA15/AZ15),BA15/AZ15," - ")</f>
        <v>0.98495432563138097</v>
      </c>
      <c r="BE15" s="127">
        <f>IF(ISNUMBER(BB15/BA15),BB15/BA15, " - ")</f>
        <v>0.24506273867975994</v>
      </c>
      <c r="BF15" s="127">
        <f>IF(ISNUMBER(BC15/BA15),BC15/BA15, " - ")</f>
        <v>0.19749045280960176</v>
      </c>
      <c r="BG15" s="195">
        <f t="shared" ref="BG15:BG16" si="10">IF(ISNUMBER((AY15+AZ15)/BA15),(AY15+AZ15)/BA15," - ")</f>
        <v>1.2348063284233497</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118</v>
      </c>
      <c r="J17" s="182">
        <v>961</v>
      </c>
      <c r="K17" s="182">
        <v>997</v>
      </c>
      <c r="L17" s="182">
        <v>82</v>
      </c>
      <c r="M17" s="182">
        <v>298</v>
      </c>
      <c r="N17" s="182">
        <v>754</v>
      </c>
      <c r="O17" s="182">
        <v>53</v>
      </c>
      <c r="P17" s="182">
        <v>58</v>
      </c>
      <c r="Q17" s="182">
        <v>53</v>
      </c>
      <c r="R17" s="182">
        <v>22</v>
      </c>
      <c r="S17" s="182">
        <v>109</v>
      </c>
      <c r="T17" s="182">
        <v>940</v>
      </c>
      <c r="U17" s="182">
        <v>931</v>
      </c>
      <c r="V17" s="182">
        <v>118</v>
      </c>
      <c r="W17" s="182">
        <v>264</v>
      </c>
      <c r="X17" s="188">
        <v>718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109</v>
      </c>
      <c r="AZ17" s="129">
        <f t="shared" si="14"/>
        <v>940</v>
      </c>
      <c r="BA17" s="129">
        <f t="shared" si="14"/>
        <v>931</v>
      </c>
      <c r="BB17" s="129">
        <f t="shared" si="14"/>
        <v>118</v>
      </c>
      <c r="BC17" s="125">
        <f>IF(ISNUMBER(W17),W17," - ")</f>
        <v>264</v>
      </c>
      <c r="BD17" s="126">
        <f>IF(ISNUMBER(BA17/AZ17),BA17/AZ17," - ")</f>
        <v>0.99042553191489358</v>
      </c>
      <c r="BE17" s="127">
        <f>IF(ISNUMBER(BB17/BA17),BB17/BA17, " - ")</f>
        <v>0.12674543501611171</v>
      </c>
      <c r="BF17" s="127">
        <f>IF(ISNUMBER(BC17/BA17),BC17/BA17, " - ")</f>
        <v>0.28356605800214824</v>
      </c>
      <c r="BG17" s="195">
        <f>IF(ISNUMBER((AY17+AZ17)/BA17),(AY17+AZ17)/BA17," - ")</f>
        <v>1.1267454350161117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2364</v>
      </c>
      <c r="J18" s="183">
        <f t="shared" si="15"/>
        <v>9704</v>
      </c>
      <c r="K18" s="183">
        <f t="shared" si="15"/>
        <v>9605</v>
      </c>
      <c r="L18" s="183">
        <f t="shared" si="15"/>
        <v>2732</v>
      </c>
      <c r="M18" s="183">
        <f t="shared" si="15"/>
        <v>1957</v>
      </c>
      <c r="N18" s="183">
        <f t="shared" si="15"/>
        <v>5356</v>
      </c>
      <c r="O18" s="183">
        <f t="shared" si="15"/>
        <v>349</v>
      </c>
      <c r="P18" s="183">
        <f t="shared" si="15"/>
        <v>580</v>
      </c>
      <c r="Q18" s="183">
        <f t="shared" si="15"/>
        <v>517</v>
      </c>
      <c r="R18" s="183">
        <f t="shared" si="15"/>
        <v>393</v>
      </c>
      <c r="S18" s="183">
        <f t="shared" si="15"/>
        <v>2121</v>
      </c>
      <c r="T18" s="183">
        <f t="shared" si="15"/>
        <v>10245</v>
      </c>
      <c r="U18" s="183">
        <f t="shared" si="15"/>
        <v>10096</v>
      </c>
      <c r="V18" s="183">
        <f t="shared" si="15"/>
        <v>2364</v>
      </c>
      <c r="W18" s="183">
        <f t="shared" si="15"/>
        <v>2074</v>
      </c>
      <c r="X18" s="183">
        <f t="shared" si="15"/>
        <v>5386</v>
      </c>
      <c r="Y18" s="183">
        <f t="shared" si="15"/>
        <v>0</v>
      </c>
      <c r="Z18" s="183">
        <f t="shared" si="15"/>
        <v>0</v>
      </c>
      <c r="AA18" s="183">
        <f t="shared" si="15"/>
        <v>0</v>
      </c>
      <c r="AB18" s="183">
        <f t="shared" si="15"/>
        <v>0</v>
      </c>
      <c r="AC18" s="183">
        <f t="shared" si="15"/>
        <v>0</v>
      </c>
      <c r="AD18" s="183">
        <f t="shared" si="15"/>
        <v>203</v>
      </c>
      <c r="AE18" s="183">
        <f t="shared" si="15"/>
        <v>198</v>
      </c>
      <c r="AF18" s="183">
        <f t="shared" si="15"/>
        <v>5</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4</v>
      </c>
      <c r="AP18" s="183">
        <f t="shared" si="15"/>
        <v>4</v>
      </c>
      <c r="AQ18" s="183">
        <f t="shared" si="15"/>
        <v>4</v>
      </c>
      <c r="AR18" s="183">
        <f t="shared" si="15"/>
        <v>4</v>
      </c>
      <c r="AS18" s="183">
        <f t="shared" si="15"/>
        <v>0</v>
      </c>
      <c r="AT18" s="183">
        <f t="shared" si="15"/>
        <v>0</v>
      </c>
      <c r="AU18" s="203"/>
      <c r="AV18" s="132"/>
      <c r="AW18" s="203"/>
      <c r="AX18" s="132"/>
      <c r="AY18" s="183">
        <f>SUBTOTAL(9,AY14:AY17)</f>
        <v>2121</v>
      </c>
      <c r="AZ18" s="183">
        <f>SUBTOTAL(9,AZ14:AZ17)</f>
        <v>10245</v>
      </c>
      <c r="BA18" s="183">
        <f>SUBTOTAL(9,BA14:BA17)</f>
        <v>10096</v>
      </c>
      <c r="BB18" s="183">
        <f>SUBTOTAL(9,BB14:BB17)</f>
        <v>2364</v>
      </c>
      <c r="BC18" s="183">
        <f>SUBTOTAL(9,BC14:BC17)</f>
        <v>2074</v>
      </c>
      <c r="BD18" s="204">
        <f>IF(ISNUMBER(BA18/AZ18),BA18/AZ18," - ")</f>
        <v>0.98545632015617379</v>
      </c>
      <c r="BE18" s="205">
        <f>IF(ISNUMBER(BB18/BA18),BB18/BA18, " - ")</f>
        <v>0.23415213946117275</v>
      </c>
      <c r="BF18" s="205">
        <f>IF(ISNUMBER(BC18/BA18),BC18/BA18, " - ")</f>
        <v>0.20542789223454833</v>
      </c>
      <c r="BG18" s="206">
        <f>IF(ISNUMBER((AY18+AZ18)/BA18),(AY18+AZ18)/BA18," - ")</f>
        <v>1.2248415213946118</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7635</v>
      </c>
      <c r="J19" s="134">
        <f t="shared" si="18"/>
        <v>19691</v>
      </c>
      <c r="K19" s="134">
        <f t="shared" si="18"/>
        <v>20513</v>
      </c>
      <c r="L19" s="134">
        <f t="shared" si="18"/>
        <v>7116</v>
      </c>
      <c r="M19" s="134">
        <f t="shared" si="18"/>
        <v>4266</v>
      </c>
      <c r="N19" s="134">
        <f t="shared" si="18"/>
        <v>10168</v>
      </c>
      <c r="O19" s="134">
        <f t="shared" si="18"/>
        <v>6231</v>
      </c>
      <c r="P19" s="134">
        <f t="shared" si="18"/>
        <v>2902</v>
      </c>
      <c r="Q19" s="134">
        <f t="shared" si="18"/>
        <v>3734</v>
      </c>
      <c r="R19" s="134">
        <f t="shared" si="18"/>
        <v>8234</v>
      </c>
      <c r="S19" s="134">
        <f t="shared" si="18"/>
        <v>6317</v>
      </c>
      <c r="T19" s="134">
        <f t="shared" si="18"/>
        <v>20999</v>
      </c>
      <c r="U19" s="134">
        <f t="shared" si="18"/>
        <v>19775</v>
      </c>
      <c r="V19" s="134">
        <f t="shared" si="18"/>
        <v>7635</v>
      </c>
      <c r="W19" s="134">
        <f t="shared" si="18"/>
        <v>4094</v>
      </c>
      <c r="X19" s="134">
        <f t="shared" si="18"/>
        <v>9646</v>
      </c>
      <c r="Y19" s="134">
        <f t="shared" si="18"/>
        <v>198</v>
      </c>
      <c r="Z19" s="134">
        <f t="shared" si="18"/>
        <v>754</v>
      </c>
      <c r="AA19" s="134">
        <f t="shared" si="18"/>
        <v>712</v>
      </c>
      <c r="AB19" s="134">
        <f t="shared" si="18"/>
        <v>271</v>
      </c>
      <c r="AC19" s="134">
        <f t="shared" si="18"/>
        <v>0</v>
      </c>
      <c r="AD19" s="134">
        <f t="shared" si="18"/>
        <v>203</v>
      </c>
      <c r="AE19" s="134">
        <f t="shared" si="18"/>
        <v>198</v>
      </c>
      <c r="AF19" s="134">
        <f t="shared" si="18"/>
        <v>5</v>
      </c>
      <c r="AG19" s="134">
        <f t="shared" si="18"/>
        <v>181</v>
      </c>
      <c r="AH19" s="134">
        <f t="shared" si="18"/>
        <v>743</v>
      </c>
      <c r="AI19" s="134">
        <f t="shared" si="18"/>
        <v>726</v>
      </c>
      <c r="AJ19" s="134">
        <f t="shared" si="18"/>
        <v>198</v>
      </c>
      <c r="AK19" s="134">
        <f t="shared" si="18"/>
        <v>0</v>
      </c>
      <c r="AL19" s="134">
        <f t="shared" si="18"/>
        <v>3</v>
      </c>
      <c r="AM19" s="134">
        <f t="shared" si="18"/>
        <v>3</v>
      </c>
      <c r="AN19" s="209">
        <f t="shared" si="18"/>
        <v>0</v>
      </c>
      <c r="AO19" s="210">
        <v>10</v>
      </c>
      <c r="AP19" s="210">
        <v>10</v>
      </c>
      <c r="AQ19" s="210">
        <v>10</v>
      </c>
      <c r="AR19" s="210">
        <v>10</v>
      </c>
      <c r="AS19" s="152">
        <f t="shared" si="18"/>
        <v>0</v>
      </c>
      <c r="AT19" s="152">
        <f t="shared" si="18"/>
        <v>0</v>
      </c>
      <c r="AU19" s="210"/>
      <c r="AV19" s="211"/>
      <c r="AW19" s="210"/>
      <c r="AX19" s="211"/>
      <c r="AY19" s="133">
        <f>SUBTOTAL(9,AY9:AY18)</f>
        <v>6498</v>
      </c>
      <c r="AZ19" s="134">
        <f>SUBTOTAL(9,AZ9:AZ18)</f>
        <v>21742</v>
      </c>
      <c r="BA19" s="134">
        <f>SUBTOTAL(9,BA9:BA18)</f>
        <v>20501</v>
      </c>
      <c r="BB19" s="134">
        <f>SUBTOTAL(9,BB9:BB18)</f>
        <v>7833</v>
      </c>
      <c r="BC19" s="135">
        <f>SUBTOTAL(9,BC9:BC18)</f>
        <v>6367</v>
      </c>
      <c r="BD19" s="212">
        <f>IF(ISNUMBER(BA19/AZ19),BA19/AZ19," - ")</f>
        <v>0.94292153435746484</v>
      </c>
      <c r="BE19" s="209">
        <f>IF(ISNUMBER(BB19/BA19),BB19/BA19, " - ")</f>
        <v>0.38207892297936685</v>
      </c>
      <c r="BF19" s="209">
        <f>IF(ISNUMBER(BC19/BA19),BC19/BA19, " - ")</f>
        <v>0.31057021608702012</v>
      </c>
      <c r="BG19" s="135">
        <f>IF(ISNUMBER((AY19+AZ19)/BA19),(AY19+AZ19)/BA19," - ")</f>
        <v>1.3774937807911809</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zzNkiqJRBujOVY2tDeaTgIs5LAkOz8H8KVTJuVzK2EjluvGtCsyoaoh1ofsYowQo//yEI8mWZ0yRL/IEp71Dw==" saltValue="3hV654DvAB+xqUzvdMcVb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tXHYJXIpIAPRy4OQcnxeKCy9kwBCa3ZrmXjqEDEix4035/HVjYLwC0DcFwQgkmARiXAktWlijaFgm+EOx9C1A==" saltValue="ik98WD/vm1xjIgl7PpE11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GANDIA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754</v>
      </c>
      <c r="O9" s="333"/>
      <c r="P9" s="333"/>
      <c r="Q9" s="225">
        <f>IF(ISNUMBER(Datos!P9),Datos!P9,0)</f>
        <v>2307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3201</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271</v>
      </c>
      <c r="AI9" s="333" t="str">
        <f>IF(ISNUMBER(Datos!CD9),Datos!CD9,"-")</f>
        <v>-</v>
      </c>
      <c r="AJ9" s="333" t="str">
        <f>IF(ISNUMBER(Datos!EN9),Datos!EN9," - ")</f>
        <v xml:space="preserve"> - </v>
      </c>
      <c r="AK9" s="333"/>
      <c r="AL9" s="478"/>
      <c r="AM9" s="334">
        <f>IF(ISNUMBER(Datos!R9),Datos!R9," - ")</f>
        <v>7761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2261</v>
      </c>
      <c r="BD9" s="228">
        <f>IF(ISNUMBER(Datos!N9),Datos!N9," - ")</f>
        <v>4784</v>
      </c>
      <c r="BE9" s="228" t="str">
        <f>IF(ISNUMBER(Datos!BW9),Datos!BW9," - ")</f>
        <v xml:space="preserve"> - </v>
      </c>
      <c r="BF9" s="227" t="str">
        <f>IF(ISNUMBER(Datos!BX9),Datos!BX9," - ")</f>
        <v xml:space="preserve"> - </v>
      </c>
      <c r="BG9" s="242">
        <f>IF(ISNUMBER(IF(J_V="SI",Datos!K9/Datos!J9,(Datos!K9+Datos!AA9)/(Datos!J9+Datos!Z9))),IF(J_V="SI",Datos!K9/Datos!J9,(Datos!K9+Datos!AA9)/(Datos!J9+Datos!Z9))," - ")</f>
        <v>1.084667545677152</v>
      </c>
      <c r="BH9" s="259">
        <f>IF(ISNUMBER(((IF(J_V="SI",Datos!L9/Datos!K9,(Datos!L9+Datos!AB9)/(Datos!K9+Datos!AA9)))*11)/factor_trimestre),((IF(J_V="SI",Datos!L9/Datos!K9,(Datos!L9+Datos!AB9)/(Datos!K9+Datos!AA9)))*11)/factor_trimestre," - ")</f>
        <v>4.3533906399235907</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-0.10329289428076256</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77</v>
      </c>
      <c r="G10" s="332">
        <f>IF(ISNUMBER(Datos!I10),Datos!I10," - ")</f>
        <v>77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103</v>
      </c>
      <c r="AC10" s="225">
        <f>IF(ISNUMBER(Datos!Q10),Datos!Q10," - ")</f>
        <v>16</v>
      </c>
      <c r="AD10" s="333"/>
      <c r="AE10" s="483"/>
      <c r="AF10" s="331">
        <f>IF(ISNUMBER(Datos!L10),Datos!L10,"-")</f>
        <v>97</v>
      </c>
      <c r="AG10" s="333"/>
      <c r="AH10" s="333"/>
      <c r="AI10" s="333"/>
      <c r="AJ10" s="333"/>
      <c r="AK10" s="333"/>
      <c r="AL10" s="478"/>
      <c r="AM10" s="334">
        <f>IF(ISNUMBER(Datos!R10),Datos!R10," - ")</f>
        <v>80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48</v>
      </c>
      <c r="BD10" s="228">
        <f>IF(ISNUMBER(Datos!N10),Datos!N10," - ")</f>
        <v>28</v>
      </c>
      <c r="BE10" s="228" t="str">
        <f>IF(ISNUMBER(Datos!BW10),Datos!BW10," - ")</f>
        <v xml:space="preserve"> - </v>
      </c>
      <c r="BF10" s="227" t="str">
        <f>IF(ISNUMBER(Datos!BX10),Datos!BX10," - ")</f>
        <v xml:space="preserve"> - </v>
      </c>
      <c r="BG10" s="242">
        <f>IF(ISNUMBER(Datos!K10/Datos!J10),Datos!K10/Datos!J10," - ")</f>
        <v>0.83739837398373984</v>
      </c>
      <c r="BH10" s="259">
        <f>IF(ISNUMBER(((Datos!L10/Datos!K10)*11)/factor_trimestre),((Datos!L10/Datos!K10)*11)/factor_trimestre," - ")</f>
        <v>10.359223300970875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-1.2345679012345678E-2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7</v>
      </c>
      <c r="F13" s="897">
        <f t="shared" si="0"/>
        <v>77</v>
      </c>
      <c r="G13" s="897">
        <f t="shared" si="0"/>
        <v>77</v>
      </c>
      <c r="H13" s="898">
        <f t="shared" si="0"/>
        <v>0</v>
      </c>
      <c r="I13" s="897">
        <f t="shared" si="0"/>
        <v>0</v>
      </c>
      <c r="J13" s="866">
        <f t="shared" si="0"/>
        <v>0</v>
      </c>
      <c r="K13" s="866">
        <f t="shared" si="0"/>
        <v>0</v>
      </c>
      <c r="L13" s="898">
        <f t="shared" si="0"/>
        <v>0</v>
      </c>
      <c r="M13" s="898">
        <f t="shared" si="0"/>
        <v>0</v>
      </c>
      <c r="N13" s="898">
        <f t="shared" si="0"/>
        <v>754</v>
      </c>
      <c r="O13" s="899">
        <f t="shared" si="0"/>
        <v>0</v>
      </c>
      <c r="P13" s="899">
        <f t="shared" si="0"/>
        <v>0</v>
      </c>
      <c r="Q13" s="898">
        <f t="shared" si="0"/>
        <v>2322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103</v>
      </c>
      <c r="AC13" s="898">
        <f t="shared" si="1"/>
        <v>3217</v>
      </c>
      <c r="AD13" s="898">
        <f t="shared" si="1"/>
        <v>0</v>
      </c>
      <c r="AE13" s="898">
        <f t="shared" si="1"/>
        <v>0</v>
      </c>
      <c r="AF13" s="898">
        <f t="shared" si="1"/>
        <v>97</v>
      </c>
      <c r="AG13" s="898">
        <f t="shared" si="1"/>
        <v>0</v>
      </c>
      <c r="AH13" s="898">
        <f t="shared" si="1"/>
        <v>271</v>
      </c>
      <c r="AI13" s="898">
        <f t="shared" si="1"/>
        <v>0</v>
      </c>
      <c r="AJ13" s="898">
        <f t="shared" si="1"/>
        <v>0</v>
      </c>
      <c r="AK13" s="898">
        <f t="shared" si="1"/>
        <v>0</v>
      </c>
      <c r="AL13" s="898">
        <f t="shared" si="1"/>
        <v>0</v>
      </c>
      <c r="AM13" s="898">
        <f t="shared" si="1"/>
        <v>7841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2309</v>
      </c>
      <c r="BD13" s="898">
        <f t="shared" si="1"/>
        <v>4812</v>
      </c>
      <c r="BE13" s="898">
        <f t="shared" si="1"/>
        <v>0</v>
      </c>
      <c r="BF13" s="898">
        <f t="shared" si="1"/>
        <v>0</v>
      </c>
      <c r="BG13" s="898">
        <f>IF(ISNUMBER(Datos!K13/Datos!J13),Datos!K13/Datos!J13," - ")</f>
        <v>1.092219885851607</v>
      </c>
      <c r="BH13" s="902">
        <f>IF(ISNUMBER(((Datos!L13/Datos!K13)*11)/factor_trimestre),((Datos!L13/Datos!K13)*11)/factor_trimestre," - ")</f>
        <v>4.4209754308764211</v>
      </c>
      <c r="BI13" s="898">
        <f>IF(ISNUMBER('Resol  Asuntos'!D13/NºAsuntos!G13),'Resol  Asuntos'!D13/NºAsuntos!G13," - ")</f>
        <v>0.19870912220309811</v>
      </c>
      <c r="BJ13" s="898" t="str">
        <f>IF(ISNUMBER(Datos!CI13/Datos!CJ13),Datos!CI13/Datos!CJ13," - ")</f>
        <v xml:space="preserve"> - </v>
      </c>
      <c r="BK13" s="898">
        <f>SUBTOTAL(9,BK8:BK12)</f>
        <v>0</v>
      </c>
      <c r="BL13" s="898">
        <f>IF(ISNUMBER((I13-AB13+L13)/(F13)),(I13-AB13+L13)/(F13)," - ")</f>
        <v>-1.3376623376623376</v>
      </c>
      <c r="BM13" s="903">
        <f>SUBTOTAL(9,BM9:BM12)</f>
        <v>-0.11563857329310824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2515</v>
      </c>
      <c r="G15" s="597">
        <f>IF(ISNUMBER(IF(D_I="SI",Datos!I15,Datos!I15+Datos!AC15)),IF(D_I="SI",Datos!I15,Datos!I15+Datos!AC15)," - ")</f>
        <v>2246</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522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8608</v>
      </c>
      <c r="AC15" s="225">
        <f>IF(ISNUMBER(Datos!Q15),Datos!Q15," - ")</f>
        <v>464</v>
      </c>
      <c r="AD15" s="333"/>
      <c r="AE15" s="483"/>
      <c r="AF15" s="595">
        <f>IF(ISNUMBER(IF(D_I="SI",Datos!L15,Datos!L15+Datos!AF15)),IF(D_I="SI",Datos!L15,Datos!L15+Datos!AF15)," - ")</f>
        <v>2650</v>
      </c>
      <c r="AG15" s="333"/>
      <c r="AH15" s="333"/>
      <c r="AI15" s="333"/>
      <c r="AJ15" s="333"/>
      <c r="AK15" s="333"/>
      <c r="AL15" s="478"/>
      <c r="AM15" s="334">
        <f>IF(ISNUMBER(Datos!R15),Datos!R15," - ")</f>
        <v>371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1659</v>
      </c>
      <c r="BD15" s="228">
        <f>IF(ISNUMBER(Datos!N15),Datos!N15," - ")</f>
        <v>4602</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0.98455907583209423</v>
      </c>
      <c r="BH15" s="259">
        <f>IF(ISNUMBER(((IF(D_I="SI",Datos!L15/Datos!K15,(Datos!L15+Datos!AF15)/(Datos!K15+Datos!AE15)))*11)/factor_trimestre),((IF(D_I="SI",Datos!L15/Datos!K15,(Datos!L15+Datos!AF15)/(Datos!K15+Datos!AE15)))*11)/factor_trimestre," - ")</f>
        <v>3.3863847583643123</v>
      </c>
      <c r="BI15" s="242">
        <f>IF(ISNUMBER('Resol  Asuntos'!D15/NºAsuntos!G15),'Resol  Asuntos'!D15/NºAsuntos!G15," - ")</f>
        <v>0.19272769516728624</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118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997</v>
      </c>
      <c r="AC17" s="225">
        <f>IF(ISNUMBER(Datos!Q17),Datos!Q17," - ")</f>
        <v>53</v>
      </c>
      <c r="AD17" s="333"/>
      <c r="AE17" s="483"/>
      <c r="AF17" s="331">
        <f>IF(ISNUMBER(Datos!L17),Datos!L17,"-")</f>
        <v>82</v>
      </c>
      <c r="AG17" s="333"/>
      <c r="AH17" s="333"/>
      <c r="AI17" s="333"/>
      <c r="AJ17" s="333"/>
      <c r="AK17" s="333"/>
      <c r="AL17" s="478"/>
      <c r="AM17" s="334">
        <f>IF(ISNUMBER(Datos!R17),Datos!R17," - ")</f>
        <v>22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298</v>
      </c>
      <c r="BD17" s="228">
        <f>IF(ISNUMBER(Datos!N17),Datos!N17," - ")</f>
        <v>754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1.0374609781477628</v>
      </c>
      <c r="BH17" s="259">
        <f>IF(ISNUMBER(((IF(D_I="SI",Datos!L17/Datos!K17,(Datos!L17+Datos!AF17)/(Datos!K17+Datos!AE17)))*11)/factor_trimestre),((IF(D_I="SI",Datos!L17/Datos!K17,(Datos!L17+Datos!AF17)/(Datos!K17+Datos!AE17)))*11)/factor_trimestre," - ")</f>
        <v>0.90471414242728188</v>
      </c>
      <c r="BI17" s="242">
        <f>IF(ISNUMBER('Resol  Asuntos'!D17/NºAsuntos!G17),'Resol  Asuntos'!D17/NºAsuntos!G17," - ")</f>
        <v>0.29889669007021064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2515</v>
      </c>
      <c r="G18" s="897">
        <f>SUBTOTAL(9,G15:G17)</f>
        <v>2364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580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9605</v>
      </c>
      <c r="AC18" s="898">
        <f t="shared" si="4"/>
        <v>517</v>
      </c>
      <c r="AD18" s="898">
        <f t="shared" si="4"/>
        <v>0</v>
      </c>
      <c r="AE18" s="898">
        <f t="shared" si="4"/>
        <v>0</v>
      </c>
      <c r="AF18" s="898">
        <f t="shared" si="4"/>
        <v>2732</v>
      </c>
      <c r="AG18" s="898">
        <f t="shared" si="4"/>
        <v>0</v>
      </c>
      <c r="AH18" s="898">
        <f t="shared" si="4"/>
        <v>0</v>
      </c>
      <c r="AI18" s="898">
        <f t="shared" si="4"/>
        <v>0</v>
      </c>
      <c r="AJ18" s="898">
        <f t="shared" si="4"/>
        <v>0</v>
      </c>
      <c r="AK18" s="898">
        <f t="shared" si="4"/>
        <v>0</v>
      </c>
      <c r="AL18" s="898">
        <f t="shared" si="4"/>
        <v>0</v>
      </c>
      <c r="AM18" s="898">
        <f t="shared" si="4"/>
        <v>393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1957</v>
      </c>
      <c r="BD18" s="898">
        <f t="shared" si="4"/>
        <v>5356</v>
      </c>
      <c r="BE18" s="898">
        <f t="shared" si="4"/>
        <v>0</v>
      </c>
      <c r="BF18" s="898">
        <f t="shared" si="4"/>
        <v>0</v>
      </c>
      <c r="BG18" s="898">
        <f>IF(ISNUMBER(Datos!K18/Datos!J18),Datos!K18/Datos!J18," - ")</f>
        <v>0.98979802143446005</v>
      </c>
      <c r="BH18" s="902">
        <f>IF(ISNUMBER(((Datos!L18/Datos!K18)*11)/factor_trimestre),((Datos!L18/Datos!K18)*11)/factor_trimestre," - ")</f>
        <v>3.1287870900572616</v>
      </c>
      <c r="BI18" s="898">
        <f>SUBTOTAL(9,BI15:BI17)</f>
        <v>0.49162438523749685</v>
      </c>
      <c r="BJ18" s="898">
        <f>SUBTOTAL(9,BJ15:BJ17)</f>
        <v>0</v>
      </c>
      <c r="BK18" s="898">
        <f>SUBTOTAL(9,BK15:BK17)</f>
        <v>0</v>
      </c>
      <c r="BL18" s="898">
        <f>IF(ISNUMBER((I18-AB18+L18)/(F18)),(I18-AB18+L18)/(F18)," - ")</f>
        <v>-3.8190854870775346</v>
      </c>
      <c r="BM18" s="904">
        <f>IF(ISNUMBER((Datos!P18-Datos!Q18)/(Datos!R18-Datos!P18+Datos!Q18)),(Datos!P18-Datos!Q18)/(Datos!R18-Datos!P18+Datos!Q18)," - ")</f>
        <v>0.19090909090909092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11</v>
      </c>
      <c r="F19" s="819">
        <f t="shared" si="6"/>
        <v>2592</v>
      </c>
      <c r="G19" s="819">
        <f t="shared" si="6"/>
        <v>2441</v>
      </c>
      <c r="H19" s="821">
        <f t="shared" si="6"/>
        <v>0</v>
      </c>
      <c r="I19" s="819">
        <f t="shared" si="6"/>
        <v>0</v>
      </c>
      <c r="J19" s="821">
        <f t="shared" si="6"/>
        <v>0</v>
      </c>
      <c r="K19" s="821">
        <f t="shared" si="6"/>
        <v>0</v>
      </c>
      <c r="L19" s="880">
        <f t="shared" si="6"/>
        <v>0</v>
      </c>
      <c r="M19" s="880">
        <f t="shared" si="6"/>
        <v>0</v>
      </c>
      <c r="N19" s="880">
        <f t="shared" si="6"/>
        <v>754</v>
      </c>
      <c r="O19" s="880">
        <f t="shared" si="6"/>
        <v>0</v>
      </c>
      <c r="P19" s="880">
        <f t="shared" si="6"/>
        <v>0</v>
      </c>
      <c r="Q19" s="821">
        <f t="shared" si="6"/>
        <v>2902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9708</v>
      </c>
      <c r="AC19" s="820">
        <f t="shared" si="7"/>
        <v>3734</v>
      </c>
      <c r="AD19" s="820">
        <f t="shared" si="7"/>
        <v>0</v>
      </c>
      <c r="AE19" s="820">
        <f t="shared" si="7"/>
        <v>0</v>
      </c>
      <c r="AF19" s="827">
        <f t="shared" si="7"/>
        <v>2829</v>
      </c>
      <c r="AG19" s="827">
        <f t="shared" si="7"/>
        <v>0</v>
      </c>
      <c r="AH19" s="827">
        <f t="shared" si="7"/>
        <v>271</v>
      </c>
      <c r="AI19" s="827">
        <f t="shared" si="7"/>
        <v>0</v>
      </c>
      <c r="AJ19" s="820">
        <f t="shared" si="7"/>
        <v>0</v>
      </c>
      <c r="AK19" s="827">
        <f t="shared" si="7"/>
        <v>0</v>
      </c>
      <c r="AL19" s="827">
        <f t="shared" si="7"/>
        <v>0</v>
      </c>
      <c r="AM19" s="827">
        <f t="shared" si="7"/>
        <v>8234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4266</v>
      </c>
      <c r="BD19" s="819">
        <f t="shared" si="7"/>
        <v>10168</v>
      </c>
      <c r="BE19" s="819">
        <f t="shared" si="7"/>
        <v>0</v>
      </c>
      <c r="BF19" s="829">
        <f t="shared" si="7"/>
        <v>0</v>
      </c>
      <c r="BG19" s="914">
        <f>IF(ISNUMBER(Datos!K19/Datos!J19),Datos!K19/Datos!J19," - ")</f>
        <v>1.0417449596262252</v>
      </c>
      <c r="BH19" s="914">
        <f>IF(ISNUMBER(((Datos!L19/Datos!K19)*11)/factor_trimestre),((Datos!L19/Datos!K19)*11)/factor_trimestre," - ")</f>
        <v>3.8159216106859066</v>
      </c>
      <c r="BI19" s="812">
        <f>IF(ISNUMBER(Datos!J19/Datos!I19),Datos!J19/Datos!I19," - ")</f>
        <v>2.5790438768827766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-3.7453703703703702</v>
      </c>
      <c r="BM19" s="888">
        <f>IF(ISNUMBER((Datos!P19-Datos!Q19+R19)/(Datos!R19-Datos!P19+Datos!Q19-R19)),(Datos!P19-Datos!Q19+R19)/(Datos!R19-Datos!P19+Datos!Q19-R19)," - ")</f>
        <v>-9.177145378336643E-2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976.4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2.6977356760397742</v>
      </c>
      <c r="F21" s="550">
        <f>IF(ISNUMBER(STDEV(F8:F18)),STDEV(F8:F18),"-")</f>
        <v>1407.5799562843076</v>
      </c>
      <c r="G21" s="551">
        <f>IF(ISNUMBER(STDEV(G8:G18)),STDEV(G8:G18),"-")</f>
        <v>1213.6730614131634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4795.1200402075438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998.43237127008251</v>
      </c>
      <c r="BD21" s="550"/>
      <c r="BE21" s="550">
        <f>IF(ISNUMBER(STDEV(BE8:BE18)),STDEV(BE8:BE18),"-")</f>
        <v>0</v>
      </c>
      <c r="BF21" s="555">
        <f>IF(ISNUMBER(STDEV(BF8:BF18)),STDEV(BF8:BF18),"-")</f>
        <v>0</v>
      </c>
      <c r="BG21" s="774">
        <f>IF(ISNUMBER(STDEV(BG8:BG18)),STDEV(BG8:BG18),"-")</f>
        <v>9.3535713012337846E-2</v>
      </c>
      <c r="BH21" s="775">
        <f>IF(ISNUMBER(STDEV(BH8:BH18)),STDEV(BH8:BH18),"-")</f>
        <v>3.1740022154199985</v>
      </c>
      <c r="BI21" s="248">
        <f>IF(ISNUMBER(STDEV(BI8:BI18)),STDEV(BI8:BI18),"-")</f>
        <v>0.13953127750948355</v>
      </c>
      <c r="BJ21" s="229" t="str">
        <f>IF(ISNUMBER(BL21/BM21),BL21/BM21," - ")</f>
        <v xml:space="preserve"> - </v>
      </c>
      <c r="BK21" s="574"/>
      <c r="BL21" s="558">
        <f>IF(ISNUMBER(STDEV(BL8:BL18)),STDEV(BL8:BL18),"-")</f>
        <v>1.7546311359447657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7PXMiVsa1+CZRC6S9A6PZgBOxSTb0MFqBLx2+LIlqAqQ2tFiHKwibyjj7WDqFmMx3Gaku3ZGbFwt0cercot2lg==" saltValue="IqM7T73IgeF9aLuxLlYH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GANDIA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2307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3201</v>
      </c>
      <c r="AA9" s="331" t="str">
        <f>IF(ISNUMBER(IF(J_V="SI",Datos!L9,Datos!L9+Datos!AB9)-IF(Monitorios="SI",Datos!CD9,0)),
                          IF(J_V="SI",Datos!L9,Datos!L9+Datos!AB9)-IF(Monitorios="SI",Datos!CD9,0),
                          " - ")</f>
        <v xml:space="preserve"> - </v>
      </c>
      <c r="AB9" s="333"/>
      <c r="AC9" s="333"/>
      <c r="AD9" s="483"/>
      <c r="AE9" s="483">
        <f>IF(ISNUMBER(Datos!R9),Datos!R9," - ")</f>
        <v>7761</v>
      </c>
      <c r="AF9" s="228" t="str">
        <f>IF(ISNUMBER(Datos!BV9),Datos!BV9," - ")</f>
        <v xml:space="preserve"> - </v>
      </c>
      <c r="AG9" s="224" t="str">
        <f>IF(ISNUMBER(Datos!DV9),Datos!DV9," - ")</f>
        <v xml:space="preserve"> - </v>
      </c>
      <c r="AH9" s="297"/>
      <c r="AI9" s="226"/>
      <c r="AJ9" s="224">
        <f>IF(ISNUMBER(Datos!M9),Datos!M9," - ")</f>
        <v>2261</v>
      </c>
      <c r="AK9" s="228">
        <f>IF(ISNUMBER(Datos!N9),Datos!N9," - ")</f>
        <v>4784</v>
      </c>
      <c r="AL9" s="228" t="str">
        <f>IF(ISNUMBER(Datos!BW9),Datos!BW9," - ")</f>
        <v xml:space="preserve"> - </v>
      </c>
      <c r="AM9" s="227" t="str">
        <f>IF(ISNUMBER(Datos!BX9),Datos!BX9," - ")</f>
        <v xml:space="preserve"> - </v>
      </c>
      <c r="AN9" s="242"/>
      <c r="AO9" s="259">
        <f>IF(ISNUMBER(((NºAsuntos!I9/NºAsuntos!G9)*11)/factor_trimestre),((NºAsuntos!I9/NºAsuntos!G9)*11)/factor_trimestre," - ")</f>
        <v>4.3533906399235907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-0.10329289428076256</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77</v>
      </c>
      <c r="G10" s="224">
        <f>IF(ISNUMBER(Datos!I10),Datos!I10," - ")</f>
        <v>77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103</v>
      </c>
      <c r="Z10" s="618">
        <f>IF(ISNUMBER(Datos!Q10),Datos!Q10," - ")</f>
        <v>16</v>
      </c>
      <c r="AA10" s="331">
        <f>IF(ISNUMBER(Datos!L10),Datos!L10,"-")</f>
        <v>97</v>
      </c>
      <c r="AB10" s="333"/>
      <c r="AC10" s="333"/>
      <c r="AD10" s="483"/>
      <c r="AE10" s="483">
        <f>IF(ISNUMBER(Datos!R10),Datos!R10," - ")</f>
        <v>80</v>
      </c>
      <c r="AF10" s="228" t="str">
        <f>IF(ISNUMBER(Datos!BV10),Datos!BV10," - ")</f>
        <v xml:space="preserve"> - </v>
      </c>
      <c r="AG10" s="224" t="str">
        <f>IF(ISNUMBER(Datos!DV10),Datos!DV10," - ")</f>
        <v xml:space="preserve"> - </v>
      </c>
      <c r="AH10" s="297"/>
      <c r="AI10" s="226"/>
      <c r="AJ10" s="224">
        <f>IF(ISNUMBER(Datos!M10),Datos!M10," - ")</f>
        <v>48</v>
      </c>
      <c r="AK10" s="228">
        <f>IF(ISNUMBER(Datos!N10),Datos!N10," - ")</f>
        <v>28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10.359223300970875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-1.2345679012345678E-2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7</v>
      </c>
      <c r="F13" s="897">
        <f>SUBTOTAL(9,F8:F12)</f>
        <v>77</v>
      </c>
      <c r="G13" s="897">
        <f>SUBTOTAL(9,G8:G12)</f>
        <v>77</v>
      </c>
      <c r="H13" s="907"/>
      <c r="I13" s="897">
        <f t="shared" ref="I13:N13" si="0">SUBTOTAL(9,I8:I12)</f>
        <v>0</v>
      </c>
      <c r="J13" s="866">
        <f t="shared" si="0"/>
        <v>0</v>
      </c>
      <c r="K13" s="907">
        <f t="shared" si="0"/>
        <v>0</v>
      </c>
      <c r="L13" s="907">
        <f t="shared" si="0"/>
        <v>0</v>
      </c>
      <c r="M13" s="907">
        <f t="shared" si="0"/>
        <v>0</v>
      </c>
      <c r="N13" s="907">
        <f t="shared" si="0"/>
        <v>2322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103</v>
      </c>
      <c r="Z13" s="906">
        <f t="shared" si="2"/>
        <v>3217</v>
      </c>
      <c r="AA13" s="899">
        <f t="shared" si="2"/>
        <v>97</v>
      </c>
      <c r="AB13" s="899">
        <f t="shared" si="2"/>
        <v>0</v>
      </c>
      <c r="AC13" s="899">
        <f t="shared" si="2"/>
        <v>0</v>
      </c>
      <c r="AD13" s="899">
        <f t="shared" si="2"/>
        <v>0</v>
      </c>
      <c r="AE13" s="899">
        <f t="shared" si="2"/>
        <v>7841</v>
      </c>
      <c r="AF13" s="907">
        <f t="shared" si="2"/>
        <v>0</v>
      </c>
      <c r="AG13" s="907">
        <f t="shared" si="2"/>
        <v>0</v>
      </c>
      <c r="AH13" s="907">
        <f t="shared" si="2"/>
        <v>0</v>
      </c>
      <c r="AI13" s="907">
        <f t="shared" si="2"/>
        <v>0</v>
      </c>
      <c r="AJ13" s="907">
        <f t="shared" si="2"/>
        <v>2309</v>
      </c>
      <c r="AK13" s="907">
        <f t="shared" si="2"/>
        <v>4812</v>
      </c>
      <c r="AL13" s="907">
        <f t="shared" si="2"/>
        <v>0</v>
      </c>
      <c r="AM13" s="907">
        <f t="shared" si="2"/>
        <v>0</v>
      </c>
      <c r="AN13" s="907">
        <f t="shared" si="2"/>
        <v>0</v>
      </c>
      <c r="AO13" s="903">
        <f>IF(ISNUMBER(((NºAsuntos!I13/NºAsuntos!G13)*11)/factor_trimestre),((NºAsuntos!I13/NºAsuntos!G13)*11)/factor_trimestre," - ")</f>
        <v>4.4066265060240966</v>
      </c>
      <c r="AP13" s="909" t="str">
        <f>IF(ISNUMBER(Datos!CI13/Datos!CJ13),Datos!CI13/Datos!CJ13," - ")</f>
        <v xml:space="preserve"> - </v>
      </c>
      <c r="AQ13" s="927">
        <f t="shared" ref="AQ13:AV13" si="3">SUBTOTAL(9,AQ9:AQ12)</f>
        <v>0</v>
      </c>
      <c r="AR13" s="927">
        <f t="shared" si="3"/>
        <v>-0.11563857329310824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2515</v>
      </c>
      <c r="G15" s="224">
        <f>IF(ISNUMBER(IF(D_I="SI",Datos!I15,Datos!I15+Datos!AC15)),IF(D_I="SI",Datos!I15,Datos!I15+Datos!AC15)," - ")</f>
        <v>2246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522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8608</v>
      </c>
      <c r="Z15" s="618">
        <f>IF(ISNUMBER(Datos!Q15),Datos!Q15," - ")</f>
        <v>464</v>
      </c>
      <c r="AA15" s="331">
        <f>IF(ISNUMBER(IF(D_I="SI",Datos!L15,Datos!L15+Datos!AF15)),IF(D_I="SI",Datos!L15,Datos!L15+Datos!AF15)," - ")</f>
        <v>2650</v>
      </c>
      <c r="AB15" s="333"/>
      <c r="AC15" s="333"/>
      <c r="AD15" s="483"/>
      <c r="AE15" s="483">
        <f>IF(ISNUMBER(Datos!R15),Datos!R15," - ")</f>
        <v>371</v>
      </c>
      <c r="AF15" s="228" t="str">
        <f>IF(ISNUMBER(Datos!BV15),Datos!BV15," - ")</f>
        <v xml:space="preserve"> - </v>
      </c>
      <c r="AG15" s="224"/>
      <c r="AH15" s="297"/>
      <c r="AI15" s="226"/>
      <c r="AJ15" s="224">
        <f>IF(ISNUMBER(Datos!M15),Datos!M15," - ")</f>
        <v>1659</v>
      </c>
      <c r="AK15" s="228">
        <f>IF(ISNUMBER(Datos!N15),Datos!N15," - ")</f>
        <v>4602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3.3863847583643123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118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997</v>
      </c>
      <c r="Z17" s="618">
        <f>IF(ISNUMBER(Datos!Q17),Datos!Q17," - ")</f>
        <v>53</v>
      </c>
      <c r="AA17" s="331">
        <f>IF(ISNUMBER(Datos!L17),Datos!L17,"-")</f>
        <v>82</v>
      </c>
      <c r="AB17" s="333"/>
      <c r="AC17" s="333"/>
      <c r="AD17" s="483"/>
      <c r="AE17" s="483">
        <f>IF(ISNUMBER(Datos!R17),Datos!R17," - ")</f>
        <v>22</v>
      </c>
      <c r="AF17" s="228" t="str">
        <f>IF(ISNUMBER(Datos!BV17),Datos!BV17," - ")</f>
        <v xml:space="preserve"> - </v>
      </c>
      <c r="AG17" s="224" t="str">
        <f>IF(ISNUMBER(Datos!DV17),Datos!DV17," - ")</f>
        <v xml:space="preserve"> - </v>
      </c>
      <c r="AH17" s="297"/>
      <c r="AI17" s="226"/>
      <c r="AJ17" s="224">
        <f>IF(ISNUMBER(Datos!M17),Datos!M17," - ")</f>
        <v>298</v>
      </c>
      <c r="AK17" s="228">
        <f>IF(ISNUMBER(Datos!N17),Datos!N17," - ")</f>
        <v>754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0.90471414242728188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2515</v>
      </c>
      <c r="G18" s="897">
        <f>SUBTOTAL(9,G15:G17)</f>
        <v>2364</v>
      </c>
      <c r="H18" s="931">
        <f>SUBTOTAL(9,H15:H17)</f>
        <v>0</v>
      </c>
      <c r="I18" s="910">
        <f>SUBTOTAL(9,I15:I17)</f>
        <v>0</v>
      </c>
      <c r="J18" s="866">
        <f>SUBTOTAL(9,J14:J17)</f>
        <v>0</v>
      </c>
      <c r="K18" s="931">
        <f t="shared" ref="K18:S18" si="4">SUBTOTAL(9,K15:K17)</f>
        <v>0</v>
      </c>
      <c r="L18" s="931">
        <f t="shared" si="4"/>
        <v>0</v>
      </c>
      <c r="M18" s="931">
        <f t="shared" si="4"/>
        <v>0</v>
      </c>
      <c r="N18" s="931">
        <f t="shared" si="4"/>
        <v>580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9605</v>
      </c>
      <c r="Z18" s="931">
        <f t="shared" si="5"/>
        <v>517</v>
      </c>
      <c r="AA18" s="931">
        <f t="shared" si="5"/>
        <v>2732</v>
      </c>
      <c r="AB18" s="931">
        <f t="shared" si="5"/>
        <v>0</v>
      </c>
      <c r="AC18" s="931">
        <f t="shared" si="5"/>
        <v>0</v>
      </c>
      <c r="AD18" s="931">
        <f t="shared" si="5"/>
        <v>0</v>
      </c>
      <c r="AE18" s="931">
        <f t="shared" si="5"/>
        <v>393</v>
      </c>
      <c r="AF18" s="931">
        <f t="shared" si="5"/>
        <v>0</v>
      </c>
      <c r="AG18" s="931">
        <f t="shared" si="5"/>
        <v>0</v>
      </c>
      <c r="AH18" s="931">
        <f t="shared" si="5"/>
        <v>0</v>
      </c>
      <c r="AI18" s="931">
        <f t="shared" si="5"/>
        <v>0</v>
      </c>
      <c r="AJ18" s="931">
        <f t="shared" si="5"/>
        <v>1957</v>
      </c>
      <c r="AK18" s="931">
        <f t="shared" si="5"/>
        <v>5356</v>
      </c>
      <c r="AL18" s="931">
        <f t="shared" si="5"/>
        <v>0</v>
      </c>
      <c r="AM18" s="931">
        <f t="shared" si="5"/>
        <v>0</v>
      </c>
      <c r="AN18" s="931">
        <f t="shared" si="5"/>
        <v>0</v>
      </c>
      <c r="AO18" s="933">
        <f>IF(ISNUMBER(((NºAsuntos!I18/NºAsuntos!G18)*11)/factor_trimestre),((NºAsuntos!I18/NºAsuntos!G18)*11)/factor_trimestre," - ")</f>
        <v>3.1287870900572616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11</v>
      </c>
      <c r="F19" s="819">
        <f t="shared" si="7"/>
        <v>2592</v>
      </c>
      <c r="G19" s="819">
        <f t="shared" si="7"/>
        <v>2441</v>
      </c>
      <c r="H19" s="820">
        <f t="shared" si="7"/>
        <v>0</v>
      </c>
      <c r="I19" s="819">
        <f t="shared" si="7"/>
        <v>0</v>
      </c>
      <c r="J19" s="821">
        <f t="shared" si="7"/>
        <v>0</v>
      </c>
      <c r="K19" s="819">
        <f t="shared" si="7"/>
        <v>0</v>
      </c>
      <c r="L19" s="822">
        <f t="shared" si="7"/>
        <v>0</v>
      </c>
      <c r="M19" s="819">
        <f t="shared" si="7"/>
        <v>0</v>
      </c>
      <c r="N19" s="820">
        <f t="shared" si="7"/>
        <v>2902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9708</v>
      </c>
      <c r="Z19" s="826">
        <f t="shared" si="8"/>
        <v>3734</v>
      </c>
      <c r="AA19" s="827">
        <f t="shared" si="8"/>
        <v>2829</v>
      </c>
      <c r="AB19" s="827">
        <f t="shared" si="8"/>
        <v>0</v>
      </c>
      <c r="AC19" s="827">
        <f t="shared" si="8"/>
        <v>0</v>
      </c>
      <c r="AD19" s="828">
        <f t="shared" si="8"/>
        <v>0</v>
      </c>
      <c r="AE19" s="828">
        <f t="shared" si="8"/>
        <v>8234</v>
      </c>
      <c r="AF19" s="829">
        <f t="shared" si="8"/>
        <v>0</v>
      </c>
      <c r="AG19" s="830">
        <f t="shared" si="8"/>
        <v>0</v>
      </c>
      <c r="AH19" s="831">
        <f t="shared" si="8"/>
        <v>0</v>
      </c>
      <c r="AI19" s="829">
        <f t="shared" si="8"/>
        <v>0</v>
      </c>
      <c r="AJ19" s="819">
        <f t="shared" si="8"/>
        <v>4266</v>
      </c>
      <c r="AK19" s="819">
        <f t="shared" si="8"/>
        <v>10168</v>
      </c>
      <c r="AL19" s="819">
        <f t="shared" si="8"/>
        <v>0</v>
      </c>
      <c r="AM19" s="832">
        <f t="shared" si="8"/>
        <v>0</v>
      </c>
      <c r="AN19" s="822">
        <f>IF(ISNUMBER(Datos!K19/Datos!J19),Datos!K19/Datos!J19," - ")</f>
        <v>1.0417449596262252</v>
      </c>
      <c r="AO19" s="822">
        <f>IF(ISNUMBER(FIND("06",Criterios!A8,1)),(IF(ISNUMBER(((Datos!R19/Datos!Q19)*11)/factor_trimestre),((Datos!R19/Datos!Q19)*11)/factor_trimestre," - ")),(IF(ISNUMBER(((Datos!L19/Datos!K19)*11)/factor_trimestre),((Datos!L19/Datos!K19)*11)/factor_trimestre," - ")))</f>
        <v>3.8159216106859066</v>
      </c>
      <c r="AP19" s="833" t="str">
        <f>IF(ISNUMBER(Datos!CI19/Datos!CJ19),Datos!CI19/Datos!CJ19," - ")</f>
        <v xml:space="preserve"> - </v>
      </c>
      <c r="AQ19" s="833">
        <f>IF(OR(ISNUMBER(FIND("01",Criterios!A8,1)),ISNUMBER(FIND("02",Criterios!A8,1)),ISNUMBER(FIND("03",Criterios!A8,1)),ISNUMBER(FIND("04",Criterios!A8,1))),(J19-Y19+K19)/(F19-K19),(I19-Y19+K19)/(F19-K19))</f>
        <v>-3.7453703703703702</v>
      </c>
      <c r="AR19" s="833">
        <f>IF(ISNUMBER((Datos!P19-Datos!Q19+O19)/(Datos!R19-Datos!P19+Datos!Q19-O19)),(Datos!P19-Datos!Q19+O19)/(Datos!R19-Datos!P19+Datos!Q19-O19)," - ")</f>
        <v>-9.177145378336643E-2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976.4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1407.5799562843076</v>
      </c>
      <c r="G21" s="551">
        <f>IF(ISNUMBER(STDEV(G8:G18)),STDEV(G8:G18),"-")</f>
        <v>1213.6730614131634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998.43237127008251</v>
      </c>
      <c r="AK21" s="251"/>
      <c r="AL21" s="251">
        <f>IF(ISNUMBER(STDEV(AL8:AL18)),STDEV(AL8:AL18),"-")</f>
        <v>0</v>
      </c>
      <c r="AM21" s="253">
        <f>IF(ISNUMBER(STDEV(AM8:AM18)),STDEV(AM8:AM18),"-")</f>
        <v>0</v>
      </c>
      <c r="AN21" s="538">
        <f>IF(ISNUMBER(STDEV(AN8:AN18)),STDEV(AN8:AN18),"-")</f>
        <v>0</v>
      </c>
      <c r="AO21" s="539">
        <f>IF(ISNUMBER(STDEV(AO8:AO18)),STDEV(AO8:AO18),"-")</f>
        <v>3.1740117836226718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pHUwJfsna48qu5tTjlDY6/N8fUP6Ejbg1J74HewDc1gq8o4woPVfH219+iyn8vqUq0Frzr3I8EUDc9DR6NtIbg==" saltValue="3cp4h0gYU57O6lbb8zpM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4HmcZ8QDjRCVi6Soz1Mm1JUn5ZRWTq+OPZH1bqH5+qwbgqxFLmUr7JbHDbkj1oe6SNRpLT73z+sSe+raibScg==" saltValue="bl/3Xfs4GMJf/3VpR0LX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PcKEALvyJL/V83phKVMphkvBpzopOvXZNj/XADczsSiYhIrhGazXbwrjWLZf9K/ILby3s6BK7zBPWGFMY99YA==" saltValue="zVjVuIWSgmpp+MyYrVVop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GANDIA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0.19870912220309811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0.14050856779343704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qduLfrbzyYSgypa4hcvw6N8Zo2u8MOQOug+ksQ+Ab+jR2P0vVpNBfYQSPJm+fBrJbelXlY11mXoxFg6Irm045A==" saltValue="qMM+kPs0joiBpzqwa43r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EF6AyqTspyj9+aw3tlqe8cQ55848lpAiKnLcI6fGzDmUlYHzhhnC+NKdjgr94Cm/zoI53PM6i+XUb+UvKw4dg==" saltValue="eWpNTJ0xgv/MoUJvLXs7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GANDIA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5392</v>
      </c>
      <c r="D9" s="403">
        <f>IF(ISNUMBER(C9/Datos!BH9),C9/Datos!BH9," - ")</f>
        <v>898.66666666666663</v>
      </c>
      <c r="E9" s="402">
        <f>IF(ISNUMBER(IF(J_V="SI",Datos!J9,Datos!J9+Datos!Z9)),IF(J_V="SI",Datos!J9,Datos!J9+Datos!Z9)," - ")</f>
        <v>10618</v>
      </c>
      <c r="F9" s="403">
        <f>IF(ISNUMBER(E9/B9),E9/B9," - ")</f>
        <v>1769.6666666666667</v>
      </c>
      <c r="G9" s="402">
        <f>IF(ISNUMBER(IF(J_V="SI",Datos!K9,Datos!K9+Datos!AA9)),IF(J_V="SI",Datos!K9,Datos!K9+Datos!AA9)," - ")</f>
        <v>11517</v>
      </c>
      <c r="H9" s="403">
        <f>IF(ISNUMBER(G9/B9),G9/B9," - ")</f>
        <v>1919.5</v>
      </c>
      <c r="I9" s="402">
        <f>IF(ISNUMBER(IF(J_V="SI",Datos!L9,Datos!L9+Datos!AB9)),IF(J_V="SI",Datos!L9,Datos!L9+Datos!AB9)," - ")</f>
        <v>4558</v>
      </c>
      <c r="J9" s="403">
        <f>IF(ISNUMBER(I9/B9),I9/B9," - ")</f>
        <v>759.66666666666663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77</v>
      </c>
      <c r="D10" s="403">
        <f>IF(ISNUMBER(C10/Datos!BH10),C10/Datos!BH10," - ")</f>
        <v>77</v>
      </c>
      <c r="E10" s="402">
        <f>IF(ISNUMBER(Datos!J10),Datos!J10," - ")</f>
        <v>123</v>
      </c>
      <c r="F10" s="403">
        <f>IF(ISNUMBER(E10/B10),E10/B10," - ")</f>
        <v>123</v>
      </c>
      <c r="G10" s="402">
        <f>IF(ISNUMBER(Datos!K10),Datos!K10," - ")</f>
        <v>103</v>
      </c>
      <c r="H10" s="403">
        <f>IF(ISNUMBER(G10/B10),G10/B10," - ")</f>
        <v>103</v>
      </c>
      <c r="I10" s="402">
        <f>IF(ISNUMBER(Datos!L10),Datos!L10," - ")</f>
        <v>97</v>
      </c>
      <c r="J10" s="403">
        <f>IF(ISNUMBER(I10/B10),I10/B10," - ")</f>
        <v>97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5469</v>
      </c>
      <c r="D13" s="849" t="str">
        <f>IF(ISNUMBER(C13/Datos!BI13),C13/Datos!BI13," - ")</f>
        <v xml:space="preserve"> - </v>
      </c>
      <c r="E13" s="848">
        <f>SUBTOTAL(9,E8:E12)</f>
        <v>10741</v>
      </c>
      <c r="F13" s="849">
        <f>IF(ISNUMBER(E13/B13),E13/B13," - ")</f>
        <v>1534.4285714285713</v>
      </c>
      <c r="G13" s="848">
        <f>SUBTOTAL(9,G8:G12)</f>
        <v>11620</v>
      </c>
      <c r="H13" s="849">
        <f>IF(ISNUMBER(G13/B13),G13/B13," - ")</f>
        <v>1660</v>
      </c>
      <c r="I13" s="848">
        <f>SUBTOTAL(9,I8:I12)</f>
        <v>4655</v>
      </c>
      <c r="J13" s="849">
        <f>IF(ISNUMBER(I13/B13),I13/B13," - ")</f>
        <v>665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2246</v>
      </c>
      <c r="D15" s="403">
        <f>IF(ISNUMBER(C15/Datos!BH15),C15/Datos!BH15," - ")</f>
        <v>748.66666666666663</v>
      </c>
      <c r="E15" s="402">
        <f>IF(ISNUMBER(IF(D_I="SI",Datos!J15,Datos!J15+Datos!AD15)),IF(D_I="SI",Datos!J15,Datos!J15+Datos!AD15)," - ")</f>
        <v>8743</v>
      </c>
      <c r="F15" s="403">
        <f>IF(ISNUMBER(E15/B15),E15/B15," - ")</f>
        <v>2914.3333333333335</v>
      </c>
      <c r="G15" s="402">
        <f>IF(ISNUMBER(IF(D_I="SI",Datos!K15,Datos!K15+Datos!AE15)),IF(D_I="SI",Datos!K15,Datos!K15+Datos!AE15)," - ")</f>
        <v>8608</v>
      </c>
      <c r="H15" s="403">
        <f>IF(ISNUMBER(G15/B15),G15/B15," - ")</f>
        <v>2869.3333333333335</v>
      </c>
      <c r="I15" s="402">
        <f>IF(ISNUMBER(IF(D_I="SI",Datos!L15,Datos!L15+Datos!AF15)),IF(D_I="SI",Datos!L15,Datos!L15+Datos!AF15)," - ")</f>
        <v>2650</v>
      </c>
      <c r="J15" s="403">
        <f>IF(ISNUMBER(I15/B15),I15/B15," - ")</f>
        <v>883.33333333333337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118</v>
      </c>
      <c r="D17" s="403">
        <f>IF(ISNUMBER(C17/Datos!BH17),C17/Datos!BH17," - ")</f>
        <v>118</v>
      </c>
      <c r="E17" s="402">
        <f>IF(ISNUMBER(IF(D_I="SI",Datos!J17,Datos!J17+Datos!AD17)),IF(D_I="SI",Datos!J17,Datos!J17+Datos!AD17)," - ")</f>
        <v>961</v>
      </c>
      <c r="F17" s="403">
        <f>IF(ISNUMBER(E17/B17),E17/B17," - ")</f>
        <v>961</v>
      </c>
      <c r="G17" s="402">
        <f>IF(ISNUMBER(IF(D_I="SI",Datos!K17,Datos!K17+Datos!AE17)),IF(D_I="SI",Datos!K17,Datos!K17+Datos!AE17)," - ")</f>
        <v>997</v>
      </c>
      <c r="H17" s="403">
        <f>IF(ISNUMBER(G17/B17),G17/B17," - ")</f>
        <v>997</v>
      </c>
      <c r="I17" s="402">
        <f>IF(ISNUMBER(IF(D_I="SI",Datos!L17,Datos!L17+Datos!AF17)),IF(D_I="SI",Datos!L17,Datos!L17+Datos!AF17)," - ")</f>
        <v>82</v>
      </c>
      <c r="J17" s="403">
        <f>IF(ISNUMBER(I17/B17),I17/B17," - ")</f>
        <v>82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2364</v>
      </c>
      <c r="D18" s="849" t="str">
        <f>IF(ISNUMBER(C18/Datos!BI18),C18/Datos!BI18," - ")</f>
        <v xml:space="preserve"> - </v>
      </c>
      <c r="E18" s="848">
        <f>SUBTOTAL(9,E14:E17)</f>
        <v>9704</v>
      </c>
      <c r="F18" s="849">
        <f>IF(ISNUMBER(E18/B18),E18/B18," - ")</f>
        <v>2426</v>
      </c>
      <c r="G18" s="848">
        <f>SUBTOTAL(9,G14:G17)</f>
        <v>9605</v>
      </c>
      <c r="H18" s="849">
        <f>IF(ISNUMBER(G18/B18),G18/B18," - ")</f>
        <v>2401.25</v>
      </c>
      <c r="I18" s="848">
        <f>SUBTOTAL(9,I14:I17)</f>
        <v>2732</v>
      </c>
      <c r="J18" s="849">
        <f>IF(ISNUMBER(I18/B18),I18/B18," - ")</f>
        <v>683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7833</v>
      </c>
      <c r="D19" s="794" t="str">
        <f>IF(ISNUMBER(C19/Datos!BI19),C19/Datos!BI19," - ")</f>
        <v xml:space="preserve"> - </v>
      </c>
      <c r="E19" s="793">
        <f>SUBTOTAL(9,E9:E18)</f>
        <v>20445</v>
      </c>
      <c r="F19" s="794">
        <f>IF(ISNUMBER(E19/B19),E19/B19," - ")</f>
        <v>2044.5</v>
      </c>
      <c r="G19" s="793">
        <f>SUBTOTAL(9,G9:G18)</f>
        <v>21225</v>
      </c>
      <c r="H19" s="794">
        <f>IF(ISNUMBER(G19/B19),G19/B19," - ")</f>
        <v>2122.5</v>
      </c>
      <c r="I19" s="793">
        <f>SUBTOTAL(9,I9:I18)</f>
        <v>7387</v>
      </c>
      <c r="J19" s="794">
        <f>IF(ISNUMBER(I19/B19),I19/B19," - ")</f>
        <v>738.7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0b7L8r+f8whmepfzquy1zWLvmG9xuGqFYKpHMbQ2C8QsAYl6ZjWSQlyTjHO/tGJ+9twnXqi/qSueQsFdSvswKA==" saltValue="lJcfafpdCfKHO+jBMjzg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GANDIA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77</v>
      </c>
      <c r="G10" s="683">
        <f>IF(ISNUMBER(Datos!I10),Datos!I10," - ")</f>
        <v>77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103</v>
      </c>
      <c r="AC10" s="682" t="str">
        <f>IF(ISNUMBER(IF(D_I="SI",DatosP!K17,DatosP!K17+DatosP!AE17)),IF(D_I="SI",DatosP!K17,DatosP!K17+DatosP!AE17)," - ")</f>
        <v xml:space="preserve"> - </v>
      </c>
      <c r="AD10" s="684"/>
      <c r="AE10" s="684"/>
      <c r="AF10" s="687">
        <f>IF(ISNUMBER(Datos!L10),Datos!L10,"-")</f>
        <v>97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48</v>
      </c>
      <c r="AM10" s="689">
        <f>IF(ISNUMBER(Datos!N10+DatosP!N17),Datos!N10+DatosP!N17," - ")</f>
        <v>28</v>
      </c>
      <c r="AN10" s="689">
        <f>IF(ISNUMBER(Datos!BW10+DatosP!BW17),Datos!BW10+DatosP!BW17," - ")</f>
        <v>0</v>
      </c>
      <c r="AO10" s="690">
        <f>IF(ISNUMBER(Datos!BX10+DatosP!BX17),Datos!BX10+DatosP!BX17," - ")</f>
        <v>0</v>
      </c>
      <c r="AP10" s="692">
        <f>IF(ISNUMBER(((Datos!L10/Datos!K10)*11)/factor_trimestre),((Datos!L10/Datos!K10)*11)/factor_trimestre," - ")</f>
        <v>10.359223300970875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77</v>
      </c>
      <c r="G13" s="937">
        <f t="shared" si="0"/>
        <v>77</v>
      </c>
      <c r="H13" s="937">
        <f t="shared" si="0"/>
        <v>0</v>
      </c>
      <c r="I13" s="939">
        <f t="shared" si="0"/>
        <v>0</v>
      </c>
      <c r="J13" s="938">
        <f t="shared" si="0"/>
        <v>0</v>
      </c>
      <c r="K13" s="938">
        <f t="shared" si="0"/>
        <v>0</v>
      </c>
      <c r="L13" s="940">
        <f t="shared" si="0"/>
        <v>0</v>
      </c>
      <c r="M13" s="940">
        <f t="shared" si="0"/>
        <v>0</v>
      </c>
      <c r="N13" s="938">
        <f t="shared" si="0"/>
        <v>15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103</v>
      </c>
      <c r="AC13" s="938">
        <f t="shared" si="1"/>
        <v>0</v>
      </c>
      <c r="AD13" s="938">
        <f t="shared" si="1"/>
        <v>0</v>
      </c>
      <c r="AE13" s="938">
        <f t="shared" si="1"/>
        <v>0</v>
      </c>
      <c r="AF13" s="938">
        <f t="shared" si="1"/>
        <v>97</v>
      </c>
      <c r="AG13" s="938">
        <f t="shared" si="1"/>
        <v>0</v>
      </c>
      <c r="AH13" s="938">
        <f t="shared" si="1"/>
        <v>0</v>
      </c>
      <c r="AI13" s="938">
        <f t="shared" si="1"/>
        <v>0</v>
      </c>
      <c r="AJ13" s="938">
        <f t="shared" si="1"/>
        <v>0</v>
      </c>
      <c r="AK13" s="938">
        <f t="shared" si="1"/>
        <v>0</v>
      </c>
      <c r="AL13" s="938">
        <f t="shared" si="1"/>
        <v>48</v>
      </c>
      <c r="AM13" s="938">
        <f t="shared" si="1"/>
        <v>28</v>
      </c>
      <c r="AN13" s="938">
        <f t="shared" si="1"/>
        <v>0</v>
      </c>
      <c r="AO13" s="938">
        <f t="shared" si="1"/>
        <v>0</v>
      </c>
      <c r="AP13" s="943">
        <f>IF(ISNUMBER(((Datos!L13/Datos!K13)*11)/factor_trimestre),((Datos!L13/Datos!K13)*11)/factor_trimestre," - ")</f>
        <v>4.4209754308764211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-1.3376623376623376</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3.1287870900572616</v>
      </c>
      <c r="AQ18" s="943">
        <f>IF(ISNUMBER(((Datos!M18/Datos!L18)*11)/factor_trimestre),((Datos!M18/Datos!L18)*11)/factor_trimestre," - ")</f>
        <v>7.8795754026354325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0.19090909090909092</v>
      </c>
      <c r="AW18" s="945">
        <f>IF(ISNUMBER((Datos!Q18-Datos!R18)/(Datos!S18-Datos!Q18+Datos!R18)),(Datos!Q18-Datos!R18)/(Datos!S18-Datos!Q18+Datos!R18)," - ")</f>
        <v>6.2093139709564343E-2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77</v>
      </c>
      <c r="G19" s="950">
        <f t="shared" si="4"/>
        <v>77</v>
      </c>
      <c r="H19" s="950">
        <f t="shared" si="4"/>
        <v>0</v>
      </c>
      <c r="I19" s="951">
        <f t="shared" si="4"/>
        <v>0</v>
      </c>
      <c r="J19" s="952">
        <f t="shared" si="4"/>
        <v>0</v>
      </c>
      <c r="K19" s="952">
        <f t="shared" si="4"/>
        <v>0</v>
      </c>
      <c r="L19" s="952">
        <f t="shared" si="4"/>
        <v>0</v>
      </c>
      <c r="M19" s="952">
        <f t="shared" si="4"/>
        <v>0</v>
      </c>
      <c r="N19" s="951">
        <f t="shared" si="4"/>
        <v>15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103</v>
      </c>
      <c r="AC19" s="956">
        <f t="shared" si="5"/>
        <v>0</v>
      </c>
      <c r="AD19" s="956">
        <f t="shared" si="5"/>
        <v>0</v>
      </c>
      <c r="AE19" s="956">
        <f t="shared" si="5"/>
        <v>0</v>
      </c>
      <c r="AF19" s="957">
        <f t="shared" si="5"/>
        <v>97</v>
      </c>
      <c r="AG19" s="957">
        <f t="shared" si="5"/>
        <v>0</v>
      </c>
      <c r="AH19" s="957">
        <f t="shared" si="5"/>
        <v>0</v>
      </c>
      <c r="AI19" s="957">
        <f t="shared" si="5"/>
        <v>0</v>
      </c>
      <c r="AJ19" s="958">
        <f t="shared" si="5"/>
        <v>0</v>
      </c>
      <c r="AK19" s="958">
        <f t="shared" si="5"/>
        <v>0</v>
      </c>
      <c r="AL19" s="950">
        <f t="shared" si="5"/>
        <v>48</v>
      </c>
      <c r="AM19" s="950">
        <f t="shared" si="5"/>
        <v>28</v>
      </c>
      <c r="AN19" s="950">
        <f t="shared" si="5"/>
        <v>0</v>
      </c>
      <c r="AO19" s="950">
        <f t="shared" si="5"/>
        <v>0</v>
      </c>
      <c r="AP19" s="950">
        <f>IF(ISNUMBER(((Datos!L19/Datos!K19)*11)/factor_trimestre),((Datos!L19/Datos!K19)*11)/factor_trimestre," - ")</f>
        <v>3.8159216106859066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-1.3376623376623376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-9.177145378336643E-2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51.333333333333336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44.455970727601184</v>
      </c>
      <c r="G21" s="736">
        <f>IF(ISNUMBER(STDEV(G8:G18)),STDEV(G8:G18),"-")</f>
        <v>44.455970727601184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59.46707772653145</v>
      </c>
      <c r="AC21" s="737">
        <f>IF(ISNUMBER(STDEV(AC8:AC18)),STDEV(AC8:AC18),"-")</f>
        <v>0</v>
      </c>
      <c r="AD21" s="740"/>
      <c r="AE21" s="740"/>
      <c r="AF21" s="740"/>
      <c r="AG21" s="740"/>
      <c r="AH21" s="740"/>
      <c r="AI21" s="740"/>
      <c r="AJ21" s="741">
        <f>IF(ISNUMBER(STDEV(AJ8:AJ18)),STDEV(AJ8:AJ18),"-")</f>
        <v>0</v>
      </c>
      <c r="AK21" s="743"/>
      <c r="AL21" s="735">
        <f>IF(ISNUMBER(STDEV(AL8:AL18)),STDEV(AL8:AL18),"-")</f>
        <v>27.712812921102035</v>
      </c>
      <c r="AM21" s="735"/>
      <c r="AN21" s="735">
        <f>IF(ISNUMBER(STDEV(AN8:AN18)),STDEV(AN8:AN18),"-")</f>
        <v>0</v>
      </c>
      <c r="AO21" s="741">
        <f>IF(ISNUMBER(STDEV(AO8:AO18)),STDEV(AO8:AO18),"-")</f>
        <v>0</v>
      </c>
      <c r="AP21" s="778">
        <f>IF(ISNUMBER(STDEV(AP8:AP18)),STDEV(AP8:AP18),"-")</f>
        <v>3.8559855263153566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wrWuBVqGLWz2JvRkoSlzozoCN5GcffL9uehgA0ymqNt0v5APyma6pex4cT9y3PrXKEIwijEMfLbL4OIcBSRMZA==" saltValue="uLlsn1VwsvS99ygx3w3jt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GANDIA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DCqg2tA7IVZeBgzsEeY+ZnVKMrpRr4purvNrvUaHzsYpNDumfjn6feNa90Hsm7E/sIdb0AtjTL8xQO6jyR6AsA==" saltValue="xwll3KMKh/zu1PkXIxDj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GANDIA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2261</v>
      </c>
      <c r="E9" s="403">
        <f t="shared" ref="E9:E13" si="0">IF(ISNUMBER(D9/B9),D9/B9," - ")</f>
        <v>376.83333333333331</v>
      </c>
      <c r="F9" s="402">
        <f>IF(ISNUMBER(Datos!N9),Datos!N9," - ")</f>
        <v>4784</v>
      </c>
      <c r="G9" s="403">
        <f t="shared" ref="G9:G13" si="1">IF(ISNUMBER(F9/B9),F9/B9," - ")</f>
        <v>797.33333333333337</v>
      </c>
      <c r="H9" s="402">
        <f>IF(ISNUMBER(Datos!O9),Datos!O9," - ")</f>
        <v>5848</v>
      </c>
      <c r="I9" s="403">
        <f>IF(ISNUMBER(H9/B9),H9/B9," - ")</f>
        <v>974.66666666666663</v>
      </c>
      <c r="BZ9" s="1185">
        <f>Datos!EZ9</f>
        <v>0</v>
      </c>
    </row>
    <row r="10" spans="1:78">
      <c r="A10" s="401" t="str">
        <f>Datos!A10</f>
        <v>Jdos. Violencia contra la mujer/Secc Viol. TI.</v>
      </c>
      <c r="B10" s="426">
        <f>Datos!AO10</f>
        <v>1</v>
      </c>
      <c r="C10" s="409">
        <f>Datos!AQ10</f>
        <v>1</v>
      </c>
      <c r="D10" s="402">
        <f>IF(ISNUMBER(Datos!M10),Datos!M10," - ")</f>
        <v>48</v>
      </c>
      <c r="E10" s="403">
        <f>IF(ISNUMBER(D10/B10),D10/B10," - ")</f>
        <v>48</v>
      </c>
      <c r="F10" s="402">
        <f>IF(ISNUMBER(Datos!N10),Datos!N10," - ")</f>
        <v>28</v>
      </c>
      <c r="G10" s="403">
        <f>IF(ISNUMBER(F10/B10),F10/B10," - ")</f>
        <v>28</v>
      </c>
      <c r="H10" s="402">
        <f>IF(ISNUMBER(Datos!O10),Datos!O10," - ")</f>
        <v>34</v>
      </c>
      <c r="I10" s="403">
        <f t="shared" ref="I10:I12" si="2">IF(ISNUMBER(H10/B10),H10/B10," - ")</f>
        <v>34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7</v>
      </c>
      <c r="C13" s="850">
        <f>Datos!AR13</f>
        <v>7</v>
      </c>
      <c r="D13" s="848">
        <f>SUBTOTAL(9,D9:D12)</f>
        <v>2309</v>
      </c>
      <c r="E13" s="849">
        <f t="shared" si="0"/>
        <v>329.85714285714283</v>
      </c>
      <c r="F13" s="848">
        <f>SUBTOTAL(9,F9:F12)</f>
        <v>4812</v>
      </c>
      <c r="G13" s="849">
        <f t="shared" si="1"/>
        <v>687.42857142857144</v>
      </c>
      <c r="H13" s="848">
        <f>SUBTOTAL(9,H9:H12)</f>
        <v>5882</v>
      </c>
      <c r="I13" s="849">
        <f>IF(ISNUMBER(H13/B13),H13/B13," - ")</f>
        <v>840.28571428571433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1659</v>
      </c>
      <c r="E15" s="403">
        <f t="shared" ref="E15:E18" si="3">IF(ISNUMBER(D15/B15),D15/B15," - ")</f>
        <v>553</v>
      </c>
      <c r="F15" s="402">
        <f>IF(ISNUMBER(Datos!N15),Datos!N15," - ")</f>
        <v>4602</v>
      </c>
      <c r="G15" s="403">
        <f t="shared" ref="G15:G18" si="4">IF(ISNUMBER(F15/B15),F15/B15," - ")</f>
        <v>1534</v>
      </c>
      <c r="H15" s="402">
        <f>IF(ISNUMBER(Datos!O15),Datos!O15," - ")</f>
        <v>296</v>
      </c>
      <c r="I15" s="403">
        <f t="shared" ref="I15:I17" si="5">IF(ISNUMBER(H15/B15),H15/B15," - ")</f>
        <v>98.666666666666671</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298</v>
      </c>
      <c r="E17" s="403">
        <f>IF(ISNUMBER(D17/B17),D17/B17," - ")</f>
        <v>298</v>
      </c>
      <c r="F17" s="402">
        <f>IF(ISNUMBER(Datos!N17),Datos!N17," - ")</f>
        <v>754</v>
      </c>
      <c r="G17" s="403">
        <f>IF(ISNUMBER(F17/B17),F17/B17," - ")</f>
        <v>754</v>
      </c>
      <c r="H17" s="402">
        <f>IF(ISNUMBER(Datos!O17),Datos!O17," - ")</f>
        <v>53</v>
      </c>
      <c r="I17" s="403">
        <f t="shared" si="5"/>
        <v>53</v>
      </c>
      <c r="BZ17" s="1185">
        <f>Datos!EZ17</f>
        <v>0</v>
      </c>
    </row>
    <row r="18" spans="1:78" ht="14.25" thickTop="1" thickBot="1">
      <c r="A18" s="847" t="str">
        <f>Datos!A18</f>
        <v>TOTAL</v>
      </c>
      <c r="B18" s="848">
        <f>Datos!AP18</f>
        <v>4</v>
      </c>
      <c r="C18" s="850">
        <f>Datos!AR18</f>
        <v>4</v>
      </c>
      <c r="D18" s="848">
        <f>SUBTOTAL(9,D15:D17)</f>
        <v>1957</v>
      </c>
      <c r="E18" s="849">
        <f t="shared" si="3"/>
        <v>489.25</v>
      </c>
      <c r="F18" s="848">
        <f>SUBTOTAL(9,F15:F17)</f>
        <v>5356</v>
      </c>
      <c r="G18" s="849">
        <f t="shared" si="4"/>
        <v>1339</v>
      </c>
      <c r="H18" s="848">
        <f>SUBTOTAL(9,H15:H17)</f>
        <v>349</v>
      </c>
      <c r="I18" s="849">
        <f>IF(ISNUMBER(H18/B18),H18/B18," - ")</f>
        <v>87.25</v>
      </c>
      <c r="BZ18" s="1185"/>
    </row>
    <row r="19" spans="1:78" ht="14.25" thickTop="1" thickBot="1">
      <c r="A19" s="792" t="str">
        <f>Datos!A19</f>
        <v>TOTAL JURISDICCIONES</v>
      </c>
      <c r="B19" s="793">
        <f>Datos!AP19</f>
        <v>10</v>
      </c>
      <c r="C19" s="793">
        <f>Datos!AR19</f>
        <v>10</v>
      </c>
      <c r="D19" s="793">
        <f>SUBTOTAL(9,D8:D18)</f>
        <v>4266</v>
      </c>
      <c r="E19" s="794">
        <f>IF(ISNUMBER(D19/B19),D19/B19," - ")</f>
        <v>426.6</v>
      </c>
      <c r="F19" s="793">
        <f>SUBTOTAL(9,F8:F18)</f>
        <v>10168</v>
      </c>
      <c r="G19" s="794">
        <f>IF(ISNUMBER(F19/B19),F19/B19," - ")</f>
        <v>1016.8</v>
      </c>
      <c r="H19" s="793">
        <f>SUBTOTAL(9,H8:H18)</f>
        <v>6231</v>
      </c>
      <c r="I19" s="794">
        <f>IF(ISNUMBER(H19/B19),H19/B19," - ")</f>
        <v>623.1</v>
      </c>
    </row>
    <row r="22" spans="1:78">
      <c r="A22" s="390" t="str">
        <f>Criterios!A4</f>
        <v>Fecha Informe: 18 mar. 2026</v>
      </c>
    </row>
    <row r="27" spans="1:78">
      <c r="A27" s="413"/>
    </row>
  </sheetData>
  <sheetProtection algorithmName="SHA-512" hashValue="PD32VmcxqUQ9RZ0z9+rb8y+1F9UKIHvgAU3rwNHkjEngQgggFtxOKTDsdVthaAq3KoUtAeIXpROfpmiSvITrpw==" saltValue="u2tojWUGEJOV7Aal2HXR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GANDIA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2307</v>
      </c>
      <c r="C9" s="433">
        <f>IF(ISNUMBER(Datos!Q9),Datos!Q9," - ")</f>
        <v>3201</v>
      </c>
      <c r="D9" s="407">
        <f>IF(ISNUMBER(Datos!R9),Datos!R9," - ")</f>
        <v>7761</v>
      </c>
    </row>
    <row r="10" spans="1:4">
      <c r="A10" s="401" t="str">
        <f>Datos!A10</f>
        <v>Jdos. Violencia contra la mujer/Secc Viol. TI.</v>
      </c>
      <c r="B10" s="432">
        <f>IF(ISNUMBER(Datos!P10),Datos!P10," - ")</f>
        <v>15</v>
      </c>
      <c r="C10" s="433">
        <f>IF(ISNUMBER(Datos!Q10),Datos!Q10," - ")</f>
        <v>16</v>
      </c>
      <c r="D10" s="407">
        <f>IF(ISNUMBER(Datos!R10),Datos!R10," - ")</f>
        <v>80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2322</v>
      </c>
      <c r="C13" s="852">
        <f>SUBTOTAL(9,C9:C12)</f>
        <v>3217</v>
      </c>
      <c r="D13" s="850">
        <f>SUBTOTAL(9,D9:D12)</f>
        <v>7841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522</v>
      </c>
      <c r="C15" s="433">
        <f>IF(ISNUMBER(Datos!Q15),Datos!Q15," - ")</f>
        <v>464</v>
      </c>
      <c r="D15" s="407">
        <f>IF(ISNUMBER(Datos!R15),Datos!R15," - ")</f>
        <v>371</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58</v>
      </c>
      <c r="C17" s="433">
        <f>IF(ISNUMBER(Datos!Q17),Datos!Q17," - ")</f>
        <v>53</v>
      </c>
      <c r="D17" s="407">
        <f>IF(ISNUMBER(Datos!R17),Datos!R17," - ")</f>
        <v>22</v>
      </c>
    </row>
    <row r="18" spans="1:4" ht="14.25" thickTop="1" thickBot="1">
      <c r="A18" s="847" t="str">
        <f>Datos!A18</f>
        <v>TOTAL</v>
      </c>
      <c r="B18" s="848">
        <f>SUBTOTAL(9,B15:B17)</f>
        <v>580</v>
      </c>
      <c r="C18" s="852">
        <f>SUBTOTAL(9,C15:C17)</f>
        <v>517</v>
      </c>
      <c r="D18" s="850">
        <f>SUBTOTAL(9,D15:D17)</f>
        <v>393</v>
      </c>
    </row>
    <row r="19" spans="1:4" ht="16.5" customHeight="1" thickTop="1" thickBot="1">
      <c r="A19" s="792" t="str">
        <f>Datos!A19</f>
        <v>TOTAL JURISDICCIONES</v>
      </c>
      <c r="B19" s="797">
        <f>SUBTOTAL(9,B8:B18)</f>
        <v>2902</v>
      </c>
      <c r="C19" s="798">
        <f>SUBTOTAL(9,C8:C18)</f>
        <v>3734</v>
      </c>
      <c r="D19" s="799">
        <f>SUBTOTAL(9,D8:D18)</f>
        <v>8234</v>
      </c>
    </row>
    <row r="20" spans="1:4" ht="7.5" customHeight="1"/>
    <row r="21" spans="1:4" ht="6" customHeight="1"/>
    <row r="22" spans="1:4">
      <c r="A22" s="390" t="str">
        <f>Criterios!A4</f>
        <v>Fecha Informe: 18 mar. 2026</v>
      </c>
    </row>
    <row r="27" spans="1:4">
      <c r="A27" s="413"/>
    </row>
  </sheetData>
  <sheetProtection algorithmName="SHA-512" hashValue="IaLpkDWMKZF6Z6GVfFgngxM16ye87vHqyRlevkKfsxMfWqfHBbRTlEmm/QB5XJUvRNvVMApbhyuUaD1A1MN+QA==" saltValue="BxXi1rRl03LUcYgwnDf9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GANDIA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0.25834305717619604</v>
      </c>
      <c r="C9" s="455">
        <f>IF(ISNUMBER(
   IF(J_V="SI",(Datos!J9-Datos!T9)/Datos!T9,(Datos!J9+Datos!Z9-(Datos!T9+Datos!AH9))/(Datos!T9+Datos!AH9))
     ),IF(J_V="SI",(Datos!J9-Datos!T9)/Datos!T9,(Datos!J9+Datos!Z9-(Datos!T9+Datos!AH9))/(Datos!T9+Datos!AH9))," - ")</f>
        <v>-6.8923184847421951E-2</v>
      </c>
      <c r="D9" s="455">
        <f>IF(ISNUMBER(
   IF(J_V="SI",(Datos!K9-Datos!U9)/Datos!U9,(Datos!K9+Datos!AA9-(Datos!U9+Datos!AI9))/(Datos!U9+Datos!AI9))
     ),IF(J_V="SI",(Datos!K9-Datos!U9)/Datos!U9,(Datos!K9+Datos!AA9-(Datos!U9+Datos!AI9))/(Datos!U9+Datos!AI9))," - ")</f>
        <v>0.11848111100320481</v>
      </c>
      <c r="E9" s="455">
        <f>IF(ISNUMBER(
   IF(J_V="SI",(Datos!L9-Datos!V9)/Datos!V9,(Datos!L9+Datos!AB9-(Datos!V9+Datos!AJ9))/(Datos!V9+Datos!AJ9))
     ),IF(J_V="SI",(Datos!L9-Datos!V9)/Datos!V9,(Datos!L9+Datos!AB9-(Datos!V9+Datos!AJ9))/(Datos!V9+Datos!AJ9))," - ")</f>
        <v>-0.15467359050445104</v>
      </c>
      <c r="F9" s="455">
        <f>IF(ISNUMBER((Datos!M9-Datos!W9)/Datos!W9),(Datos!M9-Datos!W9)/Datos!W9," - ")</f>
        <v>0.15652173913043479</v>
      </c>
      <c r="G9" s="456">
        <f>IF(ISNUMBER((Datos!N9-Datos!X9)/Datos!X9),(Datos!N9-Datos!X9)/Datos!X9," - ")</f>
        <v>0.13150425733207191</v>
      </c>
      <c r="H9" s="454">
        <f>IF(ISNUMBER(((NºAsuntos!G9/NºAsuntos!E9)-Datos!BD9)/Datos!BD9),((NºAsuntos!G9/NºAsuntos!E9)-Datos!BD9)/Datos!BD9," - ")</f>
        <v>0.20127694385765188</v>
      </c>
      <c r="I9" s="455">
        <f>IF(ISNUMBER(((NºAsuntos!I9/NºAsuntos!G9)-Datos!BE9)/Datos!BE9),((NºAsuntos!I9/NºAsuntos!G9)-Datos!BE9)/Datos!BE9," - ")</f>
        <v>-0.2442193246005325</v>
      </c>
      <c r="J9" s="460">
        <f>IF(ISNUMBER((('Resol  Asuntos'!D9/NºAsuntos!G9)-Datos!BF9)/Datos!BF9),(('Resol  Asuntos'!D9/NºAsuntos!G9)-Datos!BF9)/Datos!BF9," - ")</f>
        <v>-0.52187997932224572</v>
      </c>
      <c r="K9" s="461">
        <f>IF(ISNUMBER((((NºAsuntos!C9+NºAsuntos!E9)/NºAsuntos!G9)-Datos!BG9)/Datos!BG9),(((NºAsuntos!C9+NºAsuntos!E9)/NºAsuntos!G9)-Datos!BG9)/Datos!BG9," - ")</f>
        <v>-8.7637524673237308E-2</v>
      </c>
    </row>
    <row r="10" spans="1:11" ht="21">
      <c r="A10" s="401" t="str">
        <f>Datos!A10</f>
        <v>Jdos. Violencia contra la mujer/Secc Viol. TI.</v>
      </c>
      <c r="B10" s="454">
        <f>IF(ISNUMBER((Datos!I10-Datos!S10)/Datos!S10),(Datos!I10-Datos!S10)/Datos!S10," - ")</f>
        <v>-0.16304347826086957</v>
      </c>
      <c r="C10" s="455">
        <f>IF(ISNUMBER((Datos!J10-Datos!T10)/Datos!T10),(Datos!J10-Datos!T10)/Datos!T10," - ")</f>
        <v>0.32258064516129031</v>
      </c>
      <c r="D10" s="455">
        <f>IF(ISNUMBER((Datos!K10-Datos!U10)/Datos!U10),(Datos!K10-Datos!U10)/Datos!U10," - ")</f>
        <v>-4.6296296296296294E-2</v>
      </c>
      <c r="E10" s="455">
        <f>IF(ISNUMBER((Datos!L10-Datos!V10)/Datos!V10),(Datos!L10-Datos!V10)/Datos!V10," - ")</f>
        <v>0.25974025974025972</v>
      </c>
      <c r="F10" s="455">
        <f>IF(ISNUMBER((Datos!M10-Datos!W10)/Datos!W10),(Datos!M10-Datos!W10)/Datos!W10," - ")</f>
        <v>-0.26153846153846155</v>
      </c>
      <c r="G10" s="456">
        <f>IF(ISNUMBER((Datos!N10-Datos!X10)/Datos!X10),(Datos!N10-Datos!X10)/Datos!X10," - ")</f>
        <v>-0.125</v>
      </c>
      <c r="H10" s="454">
        <f>IF(ISNUMBER(((NºAsuntos!G10/NºAsuntos!E10)-Datos!BD10)/Datos!BD10),((NºAsuntos!G10/NºAsuntos!E10)-Datos!BD10)/Datos!BD10," - ")</f>
        <v>-0.27890695573622409</v>
      </c>
      <c r="I10" s="455">
        <f>IF(ISNUMBER(((NºAsuntos!I10/NºAsuntos!G10)-Datos!BE10)/Datos!BE10),((NºAsuntos!I10/NºAsuntos!G10)-Datos!BE10)/Datos!BE10," - ")</f>
        <v>0.32089269953347638</v>
      </c>
      <c r="J10" s="460">
        <f>IF(ISNUMBER((('Resol  Asuntos'!D10/NºAsuntos!G10)-Datos!BF10)/Datos!BF10),(('Resol  Asuntos'!D10/NºAsuntos!G10)-Datos!BF10)/Datos!BF10," - ")</f>
        <v>-0.22569081404032859</v>
      </c>
      <c r="K10" s="461">
        <f>IF(ISNUMBER((((NºAsuntos!C10+NºAsuntos!E10)/NºAsuntos!G10)-Datos!BG10)/Datos!BG10),(((NºAsuntos!C10+NºAsuntos!E10)/NºAsuntos!G10)-Datos!BG10)/Datos!BG10," - ")</f>
        <v>0.13356074521123062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0.24948594928032899</v>
      </c>
      <c r="C13" s="854">
        <f>IF(ISNUMBER(
   IF(J_V="SI",(Datos!J13-Datos!T13)/Datos!T13,(Datos!J13+Datos!Z13-(Datos!T13+Datos!AH13))/(Datos!T13+Datos!AH13))
     ),IF(J_V="SI",(Datos!J13-Datos!T13)/Datos!T13,(Datos!J13+Datos!Z13-(Datos!T13+Datos!AH13))/(Datos!T13+Datos!AH13))," - ")</f>
        <v>-6.5756284248064706E-2</v>
      </c>
      <c r="D13" s="854">
        <f>IF(ISNUMBER(
   IF(J_V="SI",(Datos!K13-Datos!U13)/Datos!U13,(Datos!K13+Datos!AA13-(Datos!U13+Datos!AI13))/(Datos!U13+Datos!AI13))
     ),IF(J_V="SI",(Datos!K13-Datos!U13)/Datos!U13,(Datos!K13+Datos!AA13-(Datos!U13+Datos!AI13))/(Datos!U13+Datos!AI13))," - ")</f>
        <v>0.11677078327727054</v>
      </c>
      <c r="E13" s="854">
        <f>IF(ISNUMBER(
   IF(J_V="SI",(Datos!L13-Datos!V13)/Datos!V13,(Datos!L13+Datos!AB13-(Datos!V13+Datos!AJ13))/(Datos!V13+Datos!AJ13))
     ),IF(J_V="SI",(Datos!L13-Datos!V13)/Datos!V13,(Datos!L13+Datos!AB13-(Datos!V13+Datos!AJ13))/(Datos!V13+Datos!AJ13))," - ")</f>
        <v>-0.14883891022124704</v>
      </c>
      <c r="F13" s="855">
        <f>IF(ISNUMBER((Datos!M13-Datos!W13)/Datos!W13),(Datos!M13-Datos!W13)/Datos!W13," - ")</f>
        <v>0.14306930693069306</v>
      </c>
      <c r="G13" s="856">
        <f>IF(ISNUMBER((Datos!N13-Datos!X13)/Datos!X13),(Datos!N13-Datos!X13)/Datos!X13," - ")</f>
        <v>0.12957746478873239</v>
      </c>
      <c r="H13" s="856">
        <f>IF(ISNUMBER(((NºAsuntos!G13/NºAsuntos!E13)-Datos!BD13)/Datos!BD13),((NºAsuntos!G13/NºAsuntos!E13)-Datos!BD13)/Datos!BD13," - ")</f>
        <v>0.1953741453625156</v>
      </c>
      <c r="I13" s="856">
        <f>IF(ISNUMBER(((NºAsuntos!I13/NºAsuntos!G13)-Datos!BE13)/Datos!BE13),((NºAsuntos!I13/NºAsuntos!G13)-Datos!BE13)/Datos!BE13," - ")</f>
        <v>-0.23783725136420622</v>
      </c>
      <c r="J13" s="856">
        <f>IF(ISNUMBER((('Resol  Asuntos'!D13/NºAsuntos!G13)-Datos!BF13)/Datos!BF13),(('Resol  Asuntos'!D13/NºAsuntos!G13)-Datos!BF13)/Datos!BF13," - ")</f>
        <v>-0.51838611308566596</v>
      </c>
      <c r="K13" s="856">
        <f>IF(ISNUMBER((((NºAsuntos!C13+NºAsuntos!E13)/NºAsuntos!G13)-Datos!BG13)/Datos!BG13),(((NºAsuntos!C13+NºAsuntos!E13)/NºAsuntos!G13)-Datos!BG13)/Datos!BG13," - ")</f>
        <v>-8.5607626062123909E-2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0.11630218687872763</v>
      </c>
      <c r="C15" s="455">
        <f>IF(ISNUMBER(
   IF(D_I="SI",(Datos!J15-Datos!T15)/Datos!T15,(Datos!J15+Datos!AD15-(Datos!T15+Datos!AL15))/(Datos!T15+Datos!AL15))
     ),IF(D_I="SI",(Datos!J15-Datos!T15)/Datos!T15,(Datos!J15+Datos!AD15-(Datos!T15+Datos!AL15))/(Datos!T15+Datos!AL15))," - ")</f>
        <v>-6.0397635679742073E-2</v>
      </c>
      <c r="D15" s="455">
        <f>IF(ISNUMBER(
   IF(D_I="SI",(Datos!K15-Datos!U15)/Datos!U15,(Datos!K15+Datos!AE15-(Datos!U15+Datos!AM15))/(Datos!U15+Datos!AM15))
     ),IF(D_I="SI",(Datos!K15-Datos!U15)/Datos!U15,(Datos!K15+Datos!AE15-(Datos!U15+Datos!AM15))/(Datos!U15+Datos!AM15))," - ")</f>
        <v>-6.0774686306601197E-2</v>
      </c>
      <c r="E15" s="455">
        <f>IF(ISNUMBER(
   IF(D_I="SI",(Datos!L15-Datos!V15)/Datos!V15,(Datos!L15+Datos!AF15-(Datos!V15+Datos!AN15))/(Datos!V15+Datos!AN15))
     ),IF(D_I="SI",(Datos!L15-Datos!V15)/Datos!V15,(Datos!L15+Datos!AF15-(Datos!V15+Datos!AN15))/(Datos!V15+Datos!AN15))," - ")</f>
        <v>0.1798753339269813</v>
      </c>
      <c r="F15" s="455">
        <f>IF(ISNUMBER((Datos!M15-Datos!W15)/Datos!W15),(Datos!M15-Datos!W15)/Datos!W15," - ")</f>
        <v>-8.342541436464089E-2</v>
      </c>
      <c r="G15" s="456">
        <f>IF(ISNUMBER((Datos!N15-Datos!X15)/Datos!X15),(Datos!N15-Datos!X15)/Datos!X15," - ")</f>
        <v>-1.4138817480719794E-2</v>
      </c>
      <c r="H15" s="454">
        <f>IF(ISNUMBER(((NºAsuntos!G15/NºAsuntos!E15)-Datos!BD15)/Datos!BD15),((NºAsuntos!G15/NºAsuntos!E15)-Datos!BD15)/Datos!BD15," - ")</f>
        <v>-4.0128743942859389E-4</v>
      </c>
      <c r="I15" s="455">
        <f>IF(ISNUMBER(((NºAsuntos!I15/NºAsuntos!G15)-Datos!BE15)/Datos!BE15),((NºAsuntos!I15/NºAsuntos!G15)-Datos!BE15)/Datos!BE15," - ")</f>
        <v>0.25622182103168967</v>
      </c>
      <c r="J15" s="460">
        <f>IF(ISNUMBER((('Resol  Asuntos'!D15/NºAsuntos!G15)-Datos!BF15)/Datos!BF15),(('Resol  Asuntos'!D15/NºAsuntos!G15)-Datos!BF15)/Datos!BF15," - ")</f>
        <v>-2.4116394360122469E-2</v>
      </c>
      <c r="K15" s="461">
        <f>IF(ISNUMBER((((NºAsuntos!C15+NºAsuntos!E15)/NºAsuntos!G15)-Datos!BG15)/Datos!BG15),(((NºAsuntos!C15+NºAsuntos!E15)/NºAsuntos!G15)-Datos!BG15)/Datos!BG15," - ")</f>
        <v>3.3848896353907733E-2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8.2568807339449546E-2</v>
      </c>
      <c r="C17" s="455">
        <f>IF(ISNUMBER(
   IF(D_I="SI",(Datos!J17-Datos!T17)/Datos!T17,(Datos!J17+Datos!AD17-(Datos!T17+Datos!AL17))/(Datos!T17+Datos!AL17))
     ),IF(D_I="SI",(Datos!J17-Datos!T17)/Datos!T17,(Datos!J17+Datos!AD17-(Datos!T17+Datos!AL17))/(Datos!T17+Datos!AL17))," - ")</f>
        <v>2.2340425531914895E-2</v>
      </c>
      <c r="D17" s="455">
        <f>IF(ISNUMBER(
   IF(D_I="SI",(Datos!K17-Datos!U17)/Datos!U17,(Datos!K17+Datos!AE17-(Datos!U17+Datos!AM17))/(Datos!U17+Datos!AM17))
     ),IF(D_I="SI",(Datos!K17-Datos!U17)/Datos!U17,(Datos!K17+Datos!AE17-(Datos!U17+Datos!AM17))/(Datos!U17+Datos!AM17))," - ")</f>
        <v>7.0891514500537059E-2</v>
      </c>
      <c r="E17" s="455">
        <f>IF(ISNUMBER(
   IF(D_I="SI",(Datos!L17-Datos!V17)/Datos!V17,(Datos!L17+Datos!AF17-(Datos!V17+Datos!AN17))/(Datos!V17+Datos!AN17))
     ),IF(D_I="SI",(Datos!L17-Datos!V17)/Datos!V17,(Datos!L17+Datos!AF17-(Datos!V17+Datos!AN17))/(Datos!V17+Datos!AN17))," - ")</f>
        <v>-0.30508474576271188</v>
      </c>
      <c r="F17" s="455">
        <f>IF(ISNUMBER((Datos!M17-Datos!W17)/Datos!W17),(Datos!M17-Datos!W17)/Datos!W17," - ")</f>
        <v>0.12878787878787878</v>
      </c>
      <c r="G17" s="456">
        <f>IF(ISNUMBER((Datos!N17-Datos!X17)/Datos!X17),(Datos!N17-Datos!X17)/Datos!X17," - ")</f>
        <v>5.0139275766016712E-2</v>
      </c>
      <c r="H17" s="454">
        <f>IF(ISNUMBER(((NºAsuntos!G17/NºAsuntos!E17)-Datos!BD17)/Datos!BD17),((NºAsuntos!G17/NºAsuntos!E17)-Datos!BD17)/Datos!BD17," - ")</f>
        <v>4.7490139053595171E-2</v>
      </c>
      <c r="I17" s="455">
        <f>IF(ISNUMBER(((NºAsuntos!I17/NºAsuntos!G17)-Datos!BE17)/Datos!BE17),((NºAsuntos!I17/NºAsuntos!G17)-Datos!BE17)/Datos!BE17," - ")</f>
        <v>-0.35108715978443805</v>
      </c>
      <c r="J17" s="460">
        <f>IF(ISNUMBER((('Resol  Asuntos'!D17/NºAsuntos!G17)-Datos!BF17)/Datos!BF17),(('Resol  Asuntos'!D17/NºAsuntos!G17)-Datos!BF17)/Datos!BF17," - ")</f>
        <v>5.4063706270326112E-2</v>
      </c>
      <c r="K17" s="461">
        <f>IF(ISNUMBER((((NºAsuntos!C17+NºAsuntos!E17)/NºAsuntos!G17)-Datos!BG17)/Datos!BG17),(((NºAsuntos!C17+NºAsuntos!E17)/NºAsuntos!G17)-Datos!BG17)/Datos!BG17," - ")</f>
        <v>-3.9493121882329583E-2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0.11456859971711457</v>
      </c>
      <c r="C18" s="854">
        <f>IF(ISNUMBER(
   IF(Criterios!B14="SI",(Datos!J18-Datos!T18)/Datos!T18,(Datos!J18+Datos!AD18-(Datos!T18+Datos!AL18))/(Datos!T18+Datos!AL18))
     ),IF(Criterios!B14="SI",(Datos!J18-Datos!T18)/Datos!T18,(Datos!J18+Datos!AD18-(Datos!T18+Datos!AL18))/(Datos!T18+Datos!AL18))," - ")</f>
        <v>-5.2806246949731579E-2</v>
      </c>
      <c r="D18" s="854">
        <f>IF(ISNUMBER(
   IF(Criterios!B14="SI",(Datos!K18-Datos!U18)/Datos!U18,(Datos!K18+Datos!AE18-(Datos!U18+Datos!AM18))/(Datos!U18+Datos!AM18))
     ),IF(Criterios!B14="SI",(Datos!K18-Datos!U18)/Datos!U18,(Datos!K18+Datos!AE18-(Datos!U18+Datos!AM18))/(Datos!U18+Datos!AM18))," - ")</f>
        <v>-4.8633122028526148E-2</v>
      </c>
      <c r="E18" s="854">
        <f>IF(ISNUMBER(
   IF(Criterios!B14="SI",(Datos!L18-Datos!V18)/Datos!V18,(Datos!L18+Datos!AF18-(Datos!V18+Datos!AN18))/(Datos!V18+Datos!AN18))
     ),IF(Criterios!B14="SI",(Datos!L18-Datos!V18)/Datos!V18,(Datos!L18+Datos!AF18-(Datos!V18+Datos!AN18))/(Datos!V18+Datos!AN18))," - ")</f>
        <v>0.155668358714044</v>
      </c>
      <c r="F18" s="855">
        <f>IF(ISNUMBER((Datos!M18-Datos!W18)/Datos!W18),(Datos!M18-Datos!W18)/Datos!W18," - ")</f>
        <v>-5.6412729026036647E-2</v>
      </c>
      <c r="G18" s="856">
        <f>IF(ISNUMBER((Datos!N18-Datos!X18)/Datos!X18),(Datos!N18-Datos!X18)/Datos!X18," - ")</f>
        <v>-5.5699962866691422E-3</v>
      </c>
      <c r="H18" s="856">
        <f>IF(ISNUMBER(((NºAsuntos!G18/NºAsuntos!E18)-Datos!BD18)/Datos!BD18),((NºAsuntos!G18/NºAsuntos!E18)-Datos!BD18)/Datos!BD18," - ")</f>
        <v>4.4057774956460689E-3</v>
      </c>
      <c r="I18" s="856">
        <f>IF(ISNUMBER(((NºAsuntos!I18/NºAsuntos!G18)-Datos!BE18)/Datos!BE18),((NºAsuntos!I18/NºAsuntos!G18)-Datos!BE18)/Datos!BE18," - ")</f>
        <v>0.21474521078365305</v>
      </c>
      <c r="J18" s="856">
        <f>IF(ISNUMBER((('Resol  Asuntos'!D18/NºAsuntos!G18)-Datos!BF18)/Datos!BF18),(('Resol  Asuntos'!D18/NºAsuntos!G18)-Datos!BF18)/Datos!BF18," - ")</f>
        <v>-8.1772943515736572E-3</v>
      </c>
      <c r="K18" s="856">
        <f>IF(ISNUMBER((((NºAsuntos!C18+NºAsuntos!E18)/NºAsuntos!G18)-Datos!BG18)/Datos!BG18),(((NºAsuntos!C18+NºAsuntos!E18)/NºAsuntos!G18)-Datos!BG18)/Datos!BG18," - ")</f>
        <v>2.5788986830020306E-2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0.20544783010156972</v>
      </c>
      <c r="C19" s="801">
        <f>IF(ISNUMBER(
   IF(J_V="SI",(Datos!J19-Datos!T19)/Datos!T19,(Datos!J19+Datos!Z19-(Datos!T19+Datos!AH19))/(Datos!T19+Datos!AH19))
     ),IF(J_V="SI",(Datos!J19-Datos!T19)/Datos!T19,(Datos!J19+Datos!Z19-(Datos!T19+Datos!AH19))/(Datos!T19+Datos!AH19))," - ")</f>
        <v>-5.9654125655413483E-2</v>
      </c>
      <c r="D19" s="801">
        <f>IF(ISNUMBER(
   IF(J_V="SI",(Datos!K19-Datos!U19)/Datos!U19,(Datos!K19+Datos!AA19-(Datos!U19+Datos!AI19))/(Datos!U19+Datos!AI19))
     ),IF(J_V="SI",(Datos!K19-Datos!U19)/Datos!U19,(Datos!K19+Datos!AA19-(Datos!U19+Datos!AI19))/(Datos!U19+Datos!AI19))," - ")</f>
        <v>3.5315350470708745E-2</v>
      </c>
      <c r="E19" s="801">
        <f>IF(ISNUMBER(
   IF(J_V="SI",(Datos!L19-Datos!V19)/Datos!V19,(Datos!L19+Datos!AB19-(Datos!V19+Datos!AJ19))/(Datos!V19+Datos!AJ19))
     ),IF(J_V="SI",(Datos!L19-Datos!V19)/Datos!V19,(Datos!L19+Datos!AB19-(Datos!V19+Datos!AJ19))/(Datos!V19+Datos!AJ19))," - ")</f>
        <v>-5.6938593131622625E-2</v>
      </c>
      <c r="F19" s="802">
        <f>IF(ISNUMBER((Datos!M19-Datos!W19)/Datos!W19),(Datos!M19-Datos!W19)/Datos!W19," - ")</f>
        <v>4.2012701514411332E-2</v>
      </c>
      <c r="G19" s="803">
        <f>IF(ISNUMBER((Datos!N19-Datos!X19)/Datos!X19),(Datos!N19-Datos!X19)/Datos!X19," - ")</f>
        <v>5.4115695625129585E-2</v>
      </c>
      <c r="H19" s="804">
        <f>IF(ISNUMBER((Tasas!B19-Datos!BD19)/Datos!BD19),(Tasas!B19-Datos!BD19)/Datos!BD19," - ")</f>
        <v>0.10099419662187091</v>
      </c>
      <c r="I19" s="805">
        <f>IF(ISNUMBER((Tasas!C19-Datos!BE19)/Datos!BE19),(Tasas!C19-Datos!BE19)/Datos!BE19," - ")</f>
        <v>-8.910709530230361E-2</v>
      </c>
      <c r="J19" s="806">
        <f>IF(ISNUMBER((Tasas!D19-Datos!BF19)/Datos!BF19),(Tasas!D19-Datos!BF19)/Datos!BF19," - ")</f>
        <v>-0.35283749412413051</v>
      </c>
      <c r="K19" s="806">
        <f>IF(ISNUMBER((Tasas!E19-Datos!BG19)/Datos!BG19),(Tasas!E19-Datos!BG19)/Datos!BG19," - ")</f>
        <v>-3.2811009119210394E-2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4hKdJqfuhZFdu8/F7a/IGv0vxw7cd6VQZegICc90rQAAShhySbDcUlBHf5UR1RUIN9muONdf6FmBHF6Lj7vgw==" saltValue="skeaN6d+qk6zYTB3adf2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GANDIA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1.084667545677152</v>
      </c>
      <c r="C9" s="442">
        <f>IF(ISNUMBER(NºAsuntos!I9/NºAsuntos!G9),NºAsuntos!I9/NºAsuntos!G9," - ")</f>
        <v>0.39576278544759919</v>
      </c>
      <c r="D9" s="443">
        <f>IF(ISNUMBER('Resol  Asuntos'!D9/NºAsuntos!G9),'Resol  Asuntos'!D9/NºAsuntos!G9," - ")</f>
        <v>0.19631848571676652</v>
      </c>
      <c r="E9" s="444">
        <f>IF(ISNUMBER((NºAsuntos!C9+NºAsuntos!E9)/NºAsuntos!G9),(NºAsuntos!C9+NºAsuntos!E9)/NºAsuntos!G9," - ")</f>
        <v>1.3901189545888686</v>
      </c>
      <c r="G9" s="462"/>
    </row>
    <row r="10" spans="1:7" ht="21">
      <c r="A10" s="401" t="str">
        <f>Datos!A10</f>
        <v>Jdos. Violencia contra la mujer/Secc Viol. TI.</v>
      </c>
      <c r="B10" s="441">
        <f>IF(ISNUMBER(NºAsuntos!G10/NºAsuntos!E10),NºAsuntos!G10/NºAsuntos!E10," - ")</f>
        <v>0.83739837398373984</v>
      </c>
      <c r="C10" s="442">
        <f>IF(ISNUMBER(NºAsuntos!I10/NºAsuntos!G10),NºAsuntos!I10/NºAsuntos!G10," - ")</f>
        <v>0.94174757281553401</v>
      </c>
      <c r="D10" s="443">
        <f>IF(ISNUMBER('Resol  Asuntos'!D10/NºAsuntos!G10),'Resol  Asuntos'!D10/NºAsuntos!G10," - ")</f>
        <v>0.46601941747572817</v>
      </c>
      <c r="E10" s="444">
        <f>IF(ISNUMBER((NºAsuntos!C10+NºAsuntos!E10)/NºAsuntos!G10),(NºAsuntos!C10+NºAsuntos!E10)/NºAsuntos!G10," - ")</f>
        <v>1.941747572815534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1.0818359556838284</v>
      </c>
      <c r="C13" s="858">
        <f>IF(ISNUMBER(NºAsuntos!I13/NºAsuntos!G13),NºAsuntos!I13/NºAsuntos!G13," - ")</f>
        <v>0.4006024096385542</v>
      </c>
      <c r="D13" s="859">
        <f>IF(ISNUMBER('Resol  Asuntos'!D13/NºAsuntos!G13),'Resol  Asuntos'!D13/NºAsuntos!G13," - ")</f>
        <v>0.19870912220309811</v>
      </c>
      <c r="E13" s="860">
        <f>IF(ISNUMBER((NºAsuntos!C13+NºAsuntos!E13)/NºAsuntos!G13),(NºAsuntos!C13+NºAsuntos!E13)/NºAsuntos!G13," - ")</f>
        <v>1.3950086058519793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0.98455907583209423</v>
      </c>
      <c r="C15" s="442">
        <f>IF(ISNUMBER(NºAsuntos!I15/NºAsuntos!G15),NºAsuntos!I15/NºAsuntos!G15," - ")</f>
        <v>0.30785315985130113</v>
      </c>
      <c r="D15" s="443">
        <f>IF(ISNUMBER('Resol  Asuntos'!D15/NºAsuntos!G15),'Resol  Asuntos'!D15/NºAsuntos!G15," - ")</f>
        <v>0.19272769516728624</v>
      </c>
      <c r="E15" s="444">
        <f>IF(ISNUMBER((NºAsuntos!C15+NºAsuntos!E15)/NºAsuntos!G15),(NºAsuntos!C15+NºAsuntos!E15)/NºAsuntos!G15," - ")</f>
        <v>1.276603159851301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1.0374609781477628</v>
      </c>
      <c r="C17" s="442">
        <f>IF(ISNUMBER(NºAsuntos!I17/NºAsuntos!G17),NºAsuntos!I17/NºAsuntos!G17," - ")</f>
        <v>8.2246740220661987E-2</v>
      </c>
      <c r="D17" s="443">
        <f>IF(ISNUMBER('Resol  Asuntos'!D17/NºAsuntos!G17),'Resol  Asuntos'!D17/NºAsuntos!G17," - ")</f>
        <v>0.29889669007021064</v>
      </c>
      <c r="E17" s="444">
        <f>IF(ISNUMBER((NºAsuntos!C17+NºAsuntos!E17)/NºAsuntos!G17),(NºAsuntos!C17+NºAsuntos!E17)/NºAsuntos!G17," - ")</f>
        <v>1.0822467402206619</v>
      </c>
      <c r="G17" s="462"/>
    </row>
    <row r="18" spans="1:7" ht="14.25" thickTop="1" thickBot="1">
      <c r="A18" s="847" t="str">
        <f>Datos!A18</f>
        <v>TOTAL</v>
      </c>
      <c r="B18" s="857">
        <f>IF(ISNUMBER(NºAsuntos!G18/NºAsuntos!E18),NºAsuntos!G18/NºAsuntos!E18," - ")</f>
        <v>0.98979802143446005</v>
      </c>
      <c r="C18" s="858">
        <f>IF(ISNUMBER(NºAsuntos!I18/NºAsuntos!G18),NºAsuntos!I18/NºAsuntos!G18," - ")</f>
        <v>0.28443519000520562</v>
      </c>
      <c r="D18" s="861">
        <f>IF(ISNUMBER('Resol  Asuntos'!D18/NºAsuntos!G18),'Resol  Asuntos'!D18/NºAsuntos!G18," - ")</f>
        <v>0.20374804789172307</v>
      </c>
      <c r="E18" s="860">
        <f>IF(ISNUMBER((NºAsuntos!C18+NºAsuntos!E18)/NºAsuntos!G18),(NºAsuntos!C18+NºAsuntos!E18)/NºAsuntos!G18," - ")</f>
        <v>1.2564289432587195</v>
      </c>
      <c r="G18" s="462"/>
    </row>
    <row r="19" spans="1:7" ht="15.75" customHeight="1" thickTop="1" thickBot="1">
      <c r="A19" s="792" t="str">
        <f>Datos!A19</f>
        <v>TOTAL JURISDICCIONES</v>
      </c>
      <c r="B19" s="807">
        <f>IF(ISNUMBER(NºAsuntos!G19/NºAsuntos!E19),NºAsuntos!G19/NºAsuntos!E19," - ")</f>
        <v>1.0381511371973589</v>
      </c>
      <c r="C19" s="808">
        <f>IF(ISNUMBER(NºAsuntos!I19/NºAsuntos!G19),NºAsuntos!I19/NºAsuntos!G19," - ")</f>
        <v>0.34803297997644289</v>
      </c>
      <c r="D19" s="809">
        <f>IF(ISNUMBER('Resol  Asuntos'!D19/NºAsuntos!G19),'Resol  Asuntos'!D19/NºAsuntos!G19," - ")</f>
        <v>0.20098939929328621</v>
      </c>
      <c r="E19" s="810">
        <f>IF(ISNUMBER((NºAsuntos!C19+NºAsuntos!E19)/NºAsuntos!G19),(NºAsuntos!C19+NºAsuntos!E19)/NºAsuntos!G19," - ")</f>
        <v>1.3322968197879859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3skxnI1ipQqhw7ZG1x/t/o2n1X4qswOs12HT2TBaRNoyuvRTwusrnh0GSdqv6VMS38lBUDL3NG/mI0Ck9dtteA==" saltValue="BOrHduvBthIg39W/tJst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GANDIA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2307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3201</v>
      </c>
      <c r="Y9" s="333">
        <f>SUM(W9:X9)</f>
        <v>3201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7761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2261</v>
      </c>
      <c r="AJ9" s="228" t="str">
        <f>IF(ISNUMBER(Datos!BW9),Datos!BW9," - ")</f>
        <v xml:space="preserve"> - </v>
      </c>
      <c r="AK9" s="227" t="str">
        <f>IF(ISNUMBER(Datos!BX9),Datos!BX9," - ")</f>
        <v xml:space="preserve"> - </v>
      </c>
      <c r="AL9" s="242">
        <f>IF(ISNUMBER(NºAsuntos!G9/NºAsuntos!E9),NºAsuntos!G9/NºAsuntos!E9," - ")</f>
        <v>1.084667545677152</v>
      </c>
      <c r="AM9" s="259">
        <f>IF(ISNUMBER(((NºAsuntos!I9/NºAsuntos!G9)*11)/factor_trimestre),((NºAsuntos!I9/NºAsuntos!G9)*11)/factor_trimestre," - ")</f>
        <v>4.3533906399235907</v>
      </c>
      <c r="AN9" s="243">
        <f>IF(ISNUMBER('Resol  Asuntos'!D9/NºAsuntos!G9),'Resol  Asuntos'!D9/NºAsuntos!G9," - ")</f>
        <v>0.19631848571676652</v>
      </c>
      <c r="AO9" s="244">
        <f>IF(ISNUMBER((NºAsuntos!C9+NºAsuntos!E9)/NºAsuntos!G9),(NºAsuntos!C9+NºAsuntos!E9)/NºAsuntos!G9," - ")</f>
        <v>1.3901189545888686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77</v>
      </c>
      <c r="G10" s="332">
        <f>IF(ISNUMBER(Datos!I10),Datos!I10," - ")</f>
        <v>77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103</v>
      </c>
      <c r="X10" s="225">
        <f>IF(ISNUMBER(Datos!Q10),Datos!Q10," - ")</f>
        <v>16</v>
      </c>
      <c r="Y10" s="333">
        <f t="shared" ref="Y10:Y12" si="0">SUM(W10:X10)</f>
        <v>119</v>
      </c>
      <c r="Z10" s="334" t="str">
        <f>IF(ISNUMBER(Datos!CC10),Datos!CC10," - ")</f>
        <v xml:space="preserve"> - </v>
      </c>
      <c r="AA10" s="331">
        <f>IF(ISNUMBER(Datos!L10),Datos!L10,"-")</f>
        <v>97</v>
      </c>
      <c r="AB10" s="333">
        <f>IF(ISNUMBER(Datos!R10),Datos!R10," - ")</f>
        <v>80</v>
      </c>
      <c r="AC10" s="333">
        <f t="shared" ref="AC10:AC12" si="1">IF(ISNUMBER(AA10+AB10),AA10+AB10," - ")</f>
        <v>177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48</v>
      </c>
      <c r="AJ10" s="230" t="str">
        <f>IF(ISNUMBER(Datos!BW10),Datos!BW10," - ")</f>
        <v xml:space="preserve"> - </v>
      </c>
      <c r="AK10" s="231" t="str">
        <f>IF(ISNUMBER(Datos!BX10),Datos!BX10," - ")</f>
        <v xml:space="preserve"> - </v>
      </c>
      <c r="AL10" s="242">
        <f>IF(ISNUMBER(NºAsuntos!G10/NºAsuntos!E10),NºAsuntos!G10/NºAsuntos!E10," - ")</f>
        <v>0.83739837398373984</v>
      </c>
      <c r="AM10" s="259">
        <f>IF(ISNUMBER(((NºAsuntos!I10/NºAsuntos!G10)*11)/factor_trimestre),((NºAsuntos!I10/NºAsuntos!G10)*11)/factor_trimestre," - ")</f>
        <v>10.359223300970875</v>
      </c>
      <c r="AN10" s="243">
        <f>IF(ISNUMBER('Resol  Asuntos'!D10/NºAsuntos!G10),'Resol  Asuntos'!D10/NºAsuntos!G10," - ")</f>
        <v>0.46601941747572817</v>
      </c>
      <c r="AO10" s="244">
        <f>IF(ISNUMBER((NºAsuntos!C10+NºAsuntos!E10)/NºAsuntos!G10),(NºAsuntos!C10+NºAsuntos!E10)/NºAsuntos!G10," - ")</f>
        <v>1.941747572815534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77</v>
      </c>
      <c r="G13" s="865">
        <f t="shared" si="3"/>
        <v>77</v>
      </c>
      <c r="H13" s="864">
        <f t="shared" si="3"/>
        <v>0</v>
      </c>
      <c r="I13" s="866">
        <f t="shared" si="3"/>
        <v>0</v>
      </c>
      <c r="J13" s="866">
        <f t="shared" si="3"/>
        <v>0</v>
      </c>
      <c r="K13" s="866">
        <f t="shared" si="3"/>
        <v>0</v>
      </c>
      <c r="L13" s="866">
        <f t="shared" si="3"/>
        <v>2322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103</v>
      </c>
      <c r="X13" s="866">
        <f t="shared" si="4"/>
        <v>3217</v>
      </c>
      <c r="Y13" s="867">
        <f t="shared" si="4"/>
        <v>3320</v>
      </c>
      <c r="Z13" s="867">
        <f t="shared" si="4"/>
        <v>0</v>
      </c>
      <c r="AA13" s="867">
        <f t="shared" si="4"/>
        <v>97</v>
      </c>
      <c r="AB13" s="867">
        <f t="shared" si="4"/>
        <v>7841</v>
      </c>
      <c r="AC13" s="867">
        <f t="shared" si="4"/>
        <v>177</v>
      </c>
      <c r="AD13" s="867">
        <f t="shared" si="4"/>
        <v>0</v>
      </c>
      <c r="AE13" s="871">
        <f t="shared" si="4"/>
        <v>0</v>
      </c>
      <c r="AF13" s="864">
        <f t="shared" si="4"/>
        <v>0</v>
      </c>
      <c r="AG13" s="872">
        <f t="shared" si="4"/>
        <v>0</v>
      </c>
      <c r="AH13" s="869">
        <f t="shared" si="4"/>
        <v>0</v>
      </c>
      <c r="AI13" s="864">
        <f t="shared" si="4"/>
        <v>2309</v>
      </c>
      <c r="AJ13" s="866">
        <f t="shared" si="4"/>
        <v>0</v>
      </c>
      <c r="AK13" s="869">
        <f>SUBTOTAL(9,AK9:AK12)</f>
        <v>0</v>
      </c>
      <c r="AL13" s="873">
        <f>IF(ISNUMBER(NºAsuntos!G13/NºAsuntos!E13),NºAsuntos!G13/NºAsuntos!E13," - ")</f>
        <v>1.0818359556838284</v>
      </c>
      <c r="AM13" s="873">
        <f>IF(ISNUMBER(((NºAsuntos!I13/NºAsuntos!G13)*11)/factor_trimestre),((NºAsuntos!I13/NºAsuntos!G13)*11)/factor_trimestre," - ")</f>
        <v>4.4066265060240966</v>
      </c>
      <c r="AN13" s="874">
        <f>IF(ISNUMBER('Resol  Asuntos'!D13/NºAsuntos!G13),'Resol  Asuntos'!D13/NºAsuntos!G13," - ")</f>
        <v>0.19870912220309811</v>
      </c>
      <c r="AO13" s="875">
        <f>IF(ISNUMBER((NºAsuntos!C13+NºAsuntos!E13)/NºAsuntos!G13),(NºAsuntos!C13+NºAsuntos!E13)/NºAsuntos!G13," - ")</f>
        <v>1.3950086058519793</v>
      </c>
      <c r="AP13" s="876" t="str">
        <f t="shared" si="2"/>
        <v xml:space="preserve"> - </v>
      </c>
      <c r="AQ13" s="876">
        <f>IF(ISNUMBER((H13-W13+K13)/(F13)),(H13-W13+K13)/(F13)," - ")</f>
        <v>-1.3376623376623376</v>
      </c>
      <c r="AR13" s="877">
        <f>IF(ISNUMBER((Datos!P13-Datos!Q13)/(Datos!R13-Datos!P13+Datos!Q13)),(Datos!P13-Datos!Q13)/(Datos!R13-Datos!P13+Datos!Q13)," - ")</f>
        <v>-0.1024496336996337</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2515</v>
      </c>
      <c r="G15" s="332">
        <f>IF(ISNUMBER(IF(D_I="SI",Datos!I15,Datos!I15+Datos!AC15)),IF(D_I="SI",Datos!I15,Datos!I15+Datos!AC15)," - ")</f>
        <v>2246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522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8608</v>
      </c>
      <c r="X15" s="225">
        <f>IF(ISNUMBER(Datos!Q15),Datos!Q15," - ")</f>
        <v>464</v>
      </c>
      <c r="Y15" s="333">
        <f>SUM(W15)</f>
        <v>8608</v>
      </c>
      <c r="Z15" s="334" t="str">
        <f>IF(ISNUMBER(Datos!CC15),Datos!CC15," - ")</f>
        <v xml:space="preserve"> - </v>
      </c>
      <c r="AA15" s="331">
        <f>IF(ISNUMBER(IF(D_I="SI",Datos!L15,Datos!L15+Datos!AF15)),IF(D_I="SI",Datos!L15,Datos!L15+Datos!AF15)," - ")</f>
        <v>2650</v>
      </c>
      <c r="AB15" s="333">
        <f>IF(ISNUMBER(Datos!R15),Datos!R15," - ")</f>
        <v>371</v>
      </c>
      <c r="AC15" s="333">
        <f t="shared" ref="AC15:AC17" si="6">IF(ISNUMBER(AA15+AB15),AA15+AB15," - ")</f>
        <v>3021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1659</v>
      </c>
      <c r="AJ15" s="230" t="str">
        <f>IF(ISNUMBER(Datos!BW15),Datos!BW15," - ")</f>
        <v xml:space="preserve"> - </v>
      </c>
      <c r="AK15" s="231" t="str">
        <f>IF(ISNUMBER(Datos!BX15),Datos!BX15," - ")</f>
        <v xml:space="preserve"> - </v>
      </c>
      <c r="AL15" s="242">
        <f>IF(ISNUMBER(NºAsuntos!G15/NºAsuntos!E15),NºAsuntos!G15/NºAsuntos!E15," - ")</f>
        <v>0.98455907583209423</v>
      </c>
      <c r="AM15" s="259">
        <f>IF(ISNUMBER(((NºAsuntos!I15/NºAsuntos!G15)*11)/factor_trimestre),((NºAsuntos!I15/NºAsuntos!G15)*11)/factor_trimestre," - ")</f>
        <v>3.3863847583643123</v>
      </c>
      <c r="AN15" s="243">
        <f>IF(ISNUMBER('Resol  Asuntos'!D15/NºAsuntos!G15),'Resol  Asuntos'!D15/NºAsuntos!G15," - ")</f>
        <v>0.19272769516728624</v>
      </c>
      <c r="AO15" s="244">
        <f>IF(ISNUMBER((NºAsuntos!C15+NºAsuntos!E15)/NºAsuntos!G15),(NºAsuntos!C15+NºAsuntos!E15)/NºAsuntos!G15," - ")</f>
        <v>1.276603159851301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118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997</v>
      </c>
      <c r="X17" s="225">
        <f>IF(ISNUMBER(Datos!Q17),Datos!Q17," - ")</f>
        <v>53</v>
      </c>
      <c r="Y17" s="333">
        <f t="shared" si="7"/>
        <v>1050</v>
      </c>
      <c r="Z17" s="334" t="str">
        <f>IF(ISNUMBER(Datos!CC17),Datos!CC17," - ")</f>
        <v xml:space="preserve"> - </v>
      </c>
      <c r="AA17" s="331">
        <f>IF(ISNUMBER(Datos!L17),Datos!L17,"-")</f>
        <v>82</v>
      </c>
      <c r="AB17" s="333">
        <f>IF(ISNUMBER(Datos!R17),Datos!R17," - ")</f>
        <v>22</v>
      </c>
      <c r="AC17" s="333">
        <f t="shared" si="6"/>
        <v>104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298</v>
      </c>
      <c r="AJ17" s="230" t="str">
        <f>IF(ISNUMBER(Datos!BW17),Datos!BW17," - ")</f>
        <v xml:space="preserve"> - </v>
      </c>
      <c r="AK17" s="231" t="str">
        <f>IF(ISNUMBER(Datos!BX17),Datos!BX17," - ")</f>
        <v xml:space="preserve"> - </v>
      </c>
      <c r="AL17" s="242">
        <f>IF(ISNUMBER(NºAsuntos!G17/NºAsuntos!E17),NºAsuntos!G17/NºAsuntos!E17," - ")</f>
        <v>1.0374609781477628</v>
      </c>
      <c r="AM17" s="259">
        <f>IF(ISNUMBER(((NºAsuntos!I17/NºAsuntos!G17)*11)/factor_trimestre),((NºAsuntos!I17/NºAsuntos!G17)*11)/factor_trimestre," - ")</f>
        <v>0.90471414242728188</v>
      </c>
      <c r="AN17" s="243">
        <f>IF(ISNUMBER('Resol  Asuntos'!D17/NºAsuntos!G17),'Resol  Asuntos'!D17/NºAsuntos!G17," - ")</f>
        <v>0.29889669007021064</v>
      </c>
      <c r="AO17" s="244">
        <f>IF(ISNUMBER((NºAsuntos!C17+NºAsuntos!E17)/NºAsuntos!G17),(NºAsuntos!C17+NºAsuntos!E17)/NºAsuntos!G17," - ")</f>
        <v>1.0822467402206619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2515</v>
      </c>
      <c r="G18" s="865">
        <f>SUBTOTAL(9,G15:G17)</f>
        <v>2364</v>
      </c>
      <c r="H18" s="864">
        <f t="shared" ref="H18:O18" si="10">SUBTOTAL(9,H14:H17)</f>
        <v>0</v>
      </c>
      <c r="I18" s="866">
        <f t="shared" si="10"/>
        <v>0</v>
      </c>
      <c r="J18" s="866">
        <f t="shared" si="10"/>
        <v>0</v>
      </c>
      <c r="K18" s="866">
        <f t="shared" si="10"/>
        <v>0</v>
      </c>
      <c r="L18" s="866">
        <f t="shared" si="10"/>
        <v>580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9605</v>
      </c>
      <c r="X18" s="866">
        <f t="shared" si="11"/>
        <v>517</v>
      </c>
      <c r="Y18" s="867">
        <f t="shared" si="11"/>
        <v>9658</v>
      </c>
      <c r="Z18" s="867">
        <f t="shared" si="11"/>
        <v>0</v>
      </c>
      <c r="AA18" s="867">
        <f t="shared" si="11"/>
        <v>2732</v>
      </c>
      <c r="AB18" s="867">
        <f t="shared" si="11"/>
        <v>393</v>
      </c>
      <c r="AC18" s="867">
        <f t="shared" si="11"/>
        <v>3125</v>
      </c>
      <c r="AD18" s="867">
        <f t="shared" si="11"/>
        <v>0</v>
      </c>
      <c r="AE18" s="871">
        <f t="shared" si="11"/>
        <v>0</v>
      </c>
      <c r="AF18" s="864">
        <f t="shared" si="11"/>
        <v>0</v>
      </c>
      <c r="AG18" s="872">
        <f t="shared" si="11"/>
        <v>0</v>
      </c>
      <c r="AH18" s="869">
        <f t="shared" si="11"/>
        <v>0</v>
      </c>
      <c r="AI18" s="864">
        <f t="shared" si="11"/>
        <v>1957</v>
      </c>
      <c r="AJ18" s="866">
        <f t="shared" si="11"/>
        <v>0</v>
      </c>
      <c r="AK18" s="869">
        <f t="shared" si="11"/>
        <v>0</v>
      </c>
      <c r="AL18" s="873">
        <f>IF(ISNUMBER(NºAsuntos!G18/NºAsuntos!E18),NºAsuntos!G18/NºAsuntos!E18," - ")</f>
        <v>0.98979802143446005</v>
      </c>
      <c r="AM18" s="873">
        <f>IF(ISNUMBER(((NºAsuntos!I18/NºAsuntos!G18)*11)/factor_trimestre),((NºAsuntos!I18/NºAsuntos!G18)*11)/factor_trimestre," - ")</f>
        <v>3.1287870900572616</v>
      </c>
      <c r="AN18" s="874">
        <f>IF(ISNUMBER('Resol  Asuntos'!D18/NºAsuntos!G18),'Resol  Asuntos'!D18/NºAsuntos!G18," - ")</f>
        <v>0.20374804789172307</v>
      </c>
      <c r="AO18" s="875">
        <f>IF(ISNUMBER((NºAsuntos!C18+NºAsuntos!E18)/NºAsuntos!G18),(NºAsuntos!C18+NºAsuntos!E18)/NºAsuntos!G18," - ")</f>
        <v>1.2564289432587195</v>
      </c>
      <c r="AP18" s="876" t="str">
        <f t="shared" si="2"/>
        <v xml:space="preserve"> - </v>
      </c>
      <c r="AQ18" s="876">
        <f>IF(ISNUMBER((H18-W18+K18)/(F18)),(H18-W18+K18)/(F18)," - ")</f>
        <v>-3.8190854870775346</v>
      </c>
      <c r="AR18" s="877">
        <f>IF(ISNUMBER((Datos!P18-Datos!Q18)/(Datos!R18-Datos!P18+Datos!Q18)),(Datos!P18-Datos!Q18)/(Datos!R18-Datos!P18+Datos!Q18)," - ")</f>
        <v>0.19090909090909092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11</v>
      </c>
      <c r="F19" s="819">
        <f t="shared" si="13"/>
        <v>2592</v>
      </c>
      <c r="G19" s="820">
        <f t="shared" si="13"/>
        <v>2441</v>
      </c>
      <c r="H19" s="819">
        <f t="shared" si="13"/>
        <v>0</v>
      </c>
      <c r="I19" s="821">
        <f t="shared" si="13"/>
        <v>0</v>
      </c>
      <c r="J19" s="821">
        <f t="shared" si="13"/>
        <v>0</v>
      </c>
      <c r="K19" s="880">
        <f t="shared" si="13"/>
        <v>0</v>
      </c>
      <c r="L19" s="821">
        <f t="shared" si="13"/>
        <v>2902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9708</v>
      </c>
      <c r="X19" s="820">
        <f t="shared" si="14"/>
        <v>3734</v>
      </c>
      <c r="Y19" s="827">
        <f t="shared" si="14"/>
        <v>12978</v>
      </c>
      <c r="Z19" s="827">
        <f t="shared" si="14"/>
        <v>0</v>
      </c>
      <c r="AA19" s="827">
        <f t="shared" si="14"/>
        <v>2829</v>
      </c>
      <c r="AB19" s="827">
        <f t="shared" si="14"/>
        <v>8234</v>
      </c>
      <c r="AC19" s="827">
        <f t="shared" si="14"/>
        <v>3302</v>
      </c>
      <c r="AD19" s="827">
        <f t="shared" si="14"/>
        <v>0</v>
      </c>
      <c r="AE19" s="829">
        <f t="shared" si="14"/>
        <v>0</v>
      </c>
      <c r="AF19" s="830">
        <f t="shared" si="14"/>
        <v>0</v>
      </c>
      <c r="AG19" s="831">
        <f t="shared" si="14"/>
        <v>0</v>
      </c>
      <c r="AH19" s="829">
        <f t="shared" si="14"/>
        <v>0</v>
      </c>
      <c r="AI19" s="819">
        <f t="shared" si="14"/>
        <v>4266</v>
      </c>
      <c r="AJ19" s="819">
        <f t="shared" si="14"/>
        <v>0</v>
      </c>
      <c r="AK19" s="829">
        <f t="shared" si="14"/>
        <v>0</v>
      </c>
      <c r="AL19" s="883">
        <f>IF(ISNUMBER(NºAsuntos!G19/NºAsuntos!E19),NºAsuntos!G19/NºAsuntos!E19," - ")</f>
        <v>1.0381511371973589</v>
      </c>
      <c r="AM19" s="884">
        <f>IF(ISNUMBER(((NºAsuntos!I19/NºAsuntos!G19)*11)/factor_trimestre),((NºAsuntos!I19/NºAsuntos!G19)*11)/factor_trimestre," - ")</f>
        <v>3.8283627797408717</v>
      </c>
      <c r="AN19" s="884">
        <f>IF(ISNUMBER('Resol  Asuntos'!D19/NºAsuntos!G19),'Resol  Asuntos'!D19/NºAsuntos!G19," - ")</f>
        <v>0.20098939929328621</v>
      </c>
      <c r="AO19" s="885">
        <f>IF(ISNUMBER((NºAsuntos!C19+NºAsuntos!E19)/NºAsuntos!G19),(NºAsuntos!C19+NºAsuntos!E19)/NºAsuntos!G19," - ")</f>
        <v>1.3322968197879859</v>
      </c>
      <c r="AP19" s="886" t="str">
        <f t="shared" si="2"/>
        <v xml:space="preserve"> - </v>
      </c>
      <c r="AQ19" s="887">
        <f>IF(OR(ISNUMBER(FIND("01",Criterios!A8,1)),ISNUMBER(FIND("02",Criterios!A8,1)),ISNUMBER(FIND("03",Criterios!A8,1)),ISNUMBER(FIND("04",Criterios!A8,1))),(I19-W19+K19)/(F19-K19),(H19-W19+K19)/(F19-K19))</f>
        <v>-3.7453703703703702</v>
      </c>
      <c r="AR19" s="888">
        <f>IF(ISNUMBER((Datos!P19-Datos!Q19)/(Datos!R19-Datos!P19+Datos!Q19)),(Datos!P19-Datos!Q19)/(Datos!R19-Datos!P19+Datos!Q19)," - ")</f>
        <v>-9.177145378336643E-2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976.4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2.6977356760397742</v>
      </c>
      <c r="F21" s="251">
        <f>IF(ISNUMBER(STDEV(F8:F18)),STDEV(F8:F18),"-")</f>
        <v>1407.5799562843076</v>
      </c>
      <c r="G21" s="252">
        <f>IF(ISNUMBER(STDEV(G8:G18)),STDEV(G8:G18),"-")</f>
        <v>1213.6730614131634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4795.1200402075438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998.43237127008251</v>
      </c>
      <c r="AJ21" s="251">
        <f t="shared" si="18"/>
        <v>0</v>
      </c>
      <c r="AK21" s="253">
        <f t="shared" si="18"/>
        <v>0</v>
      </c>
      <c r="AL21" s="248">
        <f t="shared" si="18"/>
        <v>9.1662038995900613E-2</v>
      </c>
      <c r="AM21" s="249">
        <f t="shared" si="18"/>
        <v>3.1740117836226718</v>
      </c>
      <c r="AN21" s="249">
        <f t="shared" si="18"/>
        <v>0.10904730004782177</v>
      </c>
      <c r="AO21" s="250">
        <f t="shared" si="18"/>
        <v>0.29321045362705672</v>
      </c>
      <c r="AP21" s="290" t="str">
        <f t="shared" si="18"/>
        <v>-</v>
      </c>
      <c r="AQ21" s="291">
        <f t="shared" si="18"/>
        <v>1.7546311359447657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2nuahmnShNzfexfyuDFfFQvGiRfZCnndkX1yT7O2BSlY+PjrPxi6nwe1WI73yxKvmETMqzu/iij7qMkOAVIu1A==" saltValue="PKo7zPa5rHErwWgSYAle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GANDIA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0.15652173913043479</v>
      </c>
      <c r="I9" s="349">
        <f>IF(ISNUMBER((Tasas!C9-Datos!BE9)/Datos!BE9),(Tasas!C9-Datos!BE9)/Datos!BE9," - ")</f>
        <v>-0.2442193246005325</v>
      </c>
      <c r="J9" s="348">
        <f>IF(ISNUMBER((Tasas!D9-Datos!BF9)/Datos!BF9),(Tasas!D9-Datos!BF9)/Datos!BF9," - ")</f>
        <v>-0.52187997932224572</v>
      </c>
      <c r="K9" s="350">
        <f>IF(ISNUMBER((Tasas!E9-Datos!BG9)/Datos!BG9),(Tasas!E9-Datos!BG9)/Datos!BG9," - ")</f>
        <v>-8.7637524673237308E-2</v>
      </c>
      <c r="M9" t="e">
        <f>IF(Monitorios="SI",Datos!CE9,0)</f>
        <v>#REF!</v>
      </c>
      <c r="N9" t="e">
        <f>IF(Monitorios="SI",Datos!CF9,0)</f>
        <v>#REF!</v>
      </c>
      <c r="O9" t="e">
        <f>IF(Monitorios="SI",Datos!CG9,0)</f>
        <v>#REF!</v>
      </c>
      <c r="P9" t="e">
        <f>IF(Monitorios="SI",Datos!CH9,0)</f>
        <v>#REF!</v>
      </c>
      <c r="Q9">
        <f>IF(J_V="SI",0,Datos!AG9)</f>
        <v>181</v>
      </c>
      <c r="R9">
        <f>IF(J_V="SI",0,Datos!AH9)</f>
        <v>743</v>
      </c>
      <c r="S9">
        <f>IF(J_V="SI",0,Datos!AI9)</f>
        <v>726</v>
      </c>
      <c r="T9">
        <f>IF(J_V="SI",0,Datos!AJ9)</f>
        <v>198</v>
      </c>
    </row>
    <row r="10" spans="2:20" ht="14.25">
      <c r="B10" s="274" t="s">
        <v>246</v>
      </c>
      <c r="C10" s="7" t="str">
        <f>Datos!A10</f>
        <v>Jdos. Violencia contra la mujer/Secc Viol. TI.</v>
      </c>
      <c r="D10" s="351">
        <f>IF(ISNUMBER((Datos!I10-Datos!S10)/Datos!S10),(Datos!I10-Datos!S10)/Datos!S10," - ")</f>
        <v>-0.16304347826086957</v>
      </c>
      <c r="E10" s="347">
        <f>IF(ISNUMBER((Datos!J10-Datos!T10)/Datos!T10),(Datos!J10-Datos!T10)/Datos!T10," - ")</f>
        <v>0.32258064516129031</v>
      </c>
      <c r="F10" s="347">
        <f>IF(ISNUMBER((Datos!K10-Datos!U10)/Datos!U10),(Datos!K10-Datos!U10)/Datos!U10," - ")</f>
        <v>-4.6296296296296294E-2</v>
      </c>
      <c r="G10" s="348">
        <f>IF(ISNUMBER((Datos!L10-Datos!V10)/Datos!V10),(Datos!L10-Datos!V10)/Datos!V10," - ")</f>
        <v>0.25974025974025972</v>
      </c>
      <c r="H10" s="229">
        <f>IF(ISNUMBER((Datos!M10-Datos!W10)/Datos!W10),(Datos!M10-Datos!W10)/Datos!W10," - ")</f>
        <v>-0.26153846153846155</v>
      </c>
      <c r="I10" s="349">
        <f>IF(ISNUMBER((Tasas!C10-Datos!BE10)/Datos!BE10),(Tasas!C10-Datos!BE10)/Datos!BE10," - ")</f>
        <v>0.32089269953347638</v>
      </c>
      <c r="J10" s="348">
        <f>IF(ISNUMBER((Tasas!D10-Datos!BF10)/Datos!BF10),(Tasas!D10-Datos!BF10)/Datos!BF10," - ")</f>
        <v>-0.22569081404032859</v>
      </c>
      <c r="K10" s="350">
        <f>IF(ISNUMBER((Tasas!E10-Datos!BG10)/Datos!BG10),(Tasas!E10-Datos!BG10)/Datos!BG10," - ")</f>
        <v>0.13356074521123062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0.14306930693069306</v>
      </c>
      <c r="I13" s="356">
        <f>IF(ISNUMBER((Tasas!C13-Datos!BE13)/Datos!BE13),(Tasas!C13-Datos!BE13)/Datos!BE13," - ")</f>
        <v>-0.23783725136420622</v>
      </c>
      <c r="J13" s="354">
        <f>IF(ISNUMBER((Tasas!D13-Datos!BF13)/Datos!BF13),(Tasas!D13-Datos!BF13)/Datos!BF13," - ")</f>
        <v>-0.51838611308566596</v>
      </c>
      <c r="K13" s="357">
        <f>IF(ISNUMBER((Tasas!E13-Datos!BG13)/Datos!BG13),(Tasas!E13-Datos!BG13)/Datos!BG13," - ")</f>
        <v>-8.5607626062123909E-2</v>
      </c>
      <c r="M13" t="e">
        <f>IF(Monitorios="SI",Datos!CE13,0)</f>
        <v>#REF!</v>
      </c>
      <c r="N13" t="e">
        <f>IF(Monitorios="SI",Datos!CF13,0)</f>
        <v>#REF!</v>
      </c>
      <c r="O13" t="e">
        <f>IF(Monitorios="SI",Datos!CG13,0)</f>
        <v>#REF!</v>
      </c>
      <c r="P13" t="e">
        <f>IF(Monitorios="SI",Datos!CH13,0)</f>
        <v>#REF!</v>
      </c>
      <c r="Q13">
        <f>IF(J_V="SI",0,Datos!AG13)</f>
        <v>181</v>
      </c>
      <c r="R13">
        <f>IF(J_V="SI",0,Datos!AH13)</f>
        <v>743</v>
      </c>
      <c r="S13">
        <f>IF(J_V="SI",0,Datos!AI13)</f>
        <v>726</v>
      </c>
      <c r="T13">
        <f>IF(J_V="SI",0,Datos!AJ13)</f>
        <v>198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0.11630218687872763</v>
      </c>
      <c r="E15" s="347">
        <f>IF(ISNUMBER(
   IF(D_I="SI",(Datos!J15-Datos!T15)/Datos!T15,(Datos!J15+Datos!AD15-(Datos!T15+Datos!AL15))/(Datos!T15+Datos!AL15))
     ),IF(D_I="SI",(Datos!J15-Datos!T15)/Datos!T15,(Datos!J15+Datos!AD15-(Datos!T15+Datos!AL15))/(Datos!T15+Datos!AL15))," - ")</f>
        <v>-6.0397635679742073E-2</v>
      </c>
      <c r="F15" s="347">
        <f>IF(ISNUMBER(
   IF(D_I="SI",(Datos!K15-Datos!U15)/Datos!U15,(Datos!K15+Datos!AE15-(Datos!U15+Datos!AM15))/(Datos!U15+Datos!AM15))
     ),IF(D_I="SI",(Datos!K15-Datos!U15)/Datos!U15,(Datos!K15+Datos!AE15-(Datos!U15+Datos!AM15))/(Datos!U15+Datos!AM15))," - ")</f>
        <v>-6.0774686306601197E-2</v>
      </c>
      <c r="G15" s="348">
        <f>IF(ISNUMBER(
   IF(D_I="SI",(Datos!L15-Datos!V15)/Datos!V15,(Datos!L15+Datos!AF15-(Datos!V15+Datos!AN15))/(Datos!V15+Datos!AN15))
     ),IF(D_I="SI",(Datos!L15-Datos!V15)/Datos!V15,(Datos!L15+Datos!AF15-(Datos!V15+Datos!AN15))/(Datos!V15+Datos!AN15))," - ")</f>
        <v>0.1798753339269813</v>
      </c>
      <c r="H15" s="229">
        <f>IF(ISNUMBER((Datos!M15-Datos!W15)/Datos!W15),(Datos!M15-Datos!W15)/Datos!W15," - ")</f>
        <v>-8.342541436464089E-2</v>
      </c>
      <c r="I15" s="349">
        <f>IF(ISNUMBER((Tasas!C15-Datos!BE15)/Datos!BE15),(Tasas!C15-Datos!BE15)/Datos!BE15," - ")</f>
        <v>0.25622182103168967</v>
      </c>
      <c r="J15" s="348">
        <f>IF(ISNUMBER((Tasas!D15-Datos!BF15)/Datos!BF15),(Tasas!D15-Datos!BF15)/Datos!BF15," - ")</f>
        <v>-2.4116394360122469E-2</v>
      </c>
      <c r="K15" s="350">
        <f>IF(ISNUMBER((Tasas!E15-Datos!BG15)/Datos!BG15),(Tasas!E15-Datos!BG15)/Datos!BG15," - ")</f>
        <v>3.3848896353907733E-2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8.2568807339449546E-2</v>
      </c>
      <c r="E17" s="347">
        <f>IF(ISNUMBER(
   IF(D_I="SI",(Datos!J17-Datos!T17)/Datos!T17,(Datos!J17+Datos!AD17-(Datos!T17+Datos!AL17))/(Datos!T17+Datos!AL17))
     ),IF(D_I="SI",(Datos!J17-Datos!T17)/Datos!T17,(Datos!J17+Datos!AD17-(Datos!T17+Datos!AL17))/(Datos!T17+Datos!AL17))," - ")</f>
        <v>2.2340425531914895E-2</v>
      </c>
      <c r="F17" s="347">
        <f>IF(ISNUMBER(
   IF(D_I="SI",(Datos!K17-Datos!U17)/Datos!U17,(Datos!K17+Datos!AE17-(Datos!U17+Datos!AM17))/(Datos!U17+Datos!AM17))
     ),IF(D_I="SI",(Datos!K17-Datos!U17)/Datos!U17,(Datos!K17+Datos!AE17-(Datos!U17+Datos!AM17))/(Datos!U17+Datos!AM17))," - ")</f>
        <v>7.0891514500537059E-2</v>
      </c>
      <c r="G17" s="348">
        <f>IF(ISNUMBER(
   IF(D_I="SI",(Datos!L17-Datos!V17)/Datos!V17,(Datos!L17+Datos!AF17-(Datos!V17+Datos!AN17))/(Datos!V17+Datos!AN17))
     ),IF(D_I="SI",(Datos!L17-Datos!V17)/Datos!V17,(Datos!L17+Datos!AF17-(Datos!V17+Datos!AN17))/(Datos!V17+Datos!AN17))," - ")</f>
        <v>-0.30508474576271188</v>
      </c>
      <c r="H17" s="229">
        <f>IF(ISNUMBER((Datos!M17-Datos!W17)/Datos!W17),(Datos!M17-Datos!W17)/Datos!W17," - ")</f>
        <v>0.12878787878787878</v>
      </c>
      <c r="I17" s="349">
        <f>IF(ISNUMBER((Tasas!C17-Datos!BE17)/Datos!BE17),(Tasas!C17-Datos!BE17)/Datos!BE17," - ")</f>
        <v>-0.35108715978443805</v>
      </c>
      <c r="J17" s="348">
        <f>IF(ISNUMBER((Tasas!D17-Datos!BF17)/Datos!BF17),(Tasas!D17-Datos!BF17)/Datos!BF17," - ")</f>
        <v>5.4063706270326112E-2</v>
      </c>
      <c r="K17" s="350">
        <f>IF(ISNUMBER((Tasas!E17-Datos!BG17)/Datos!BG17),(Tasas!E17-Datos!BG17)/Datos!BG17," - ")</f>
        <v>-3.9493121882329583E-2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0.11456859971711457</v>
      </c>
      <c r="E18" s="353">
        <f>IF(ISNUMBER(
   IF(D_I="SI",(Datos!J18-Datos!T18)/Datos!T18,(Datos!J18+Datos!AD18-(Datos!T18+Datos!AL18))/(Datos!T18+Datos!AL18))
     ),IF(D_I="SI",(Datos!J18-Datos!T18)/Datos!T18,(Datos!J18+Datos!AD18-(Datos!T18+Datos!AL18))/(Datos!T18+Datos!AL18))," - ")</f>
        <v>-5.2806246949731579E-2</v>
      </c>
      <c r="F18" s="353">
        <f>IF(ISNUMBER(
   IF(D_I="SI",(Datos!K18-Datos!U18)/Datos!U18,(Datos!K18+Datos!AE18-(Datos!U18+Datos!AM18))/(Datos!U18+Datos!AM18))
     ),IF(D_I="SI",(Datos!K18-Datos!U18)/Datos!U18,(Datos!K18+Datos!AE18-(Datos!U18+Datos!AM18))/(Datos!U18+Datos!AM18))," - ")</f>
        <v>-4.8633122028526148E-2</v>
      </c>
      <c r="G18" s="354">
        <f>IF(ISNUMBER(
   IF(D_I="SI",(Datos!L18-Datos!V18)/Datos!V18,(Datos!L18+Datos!AF18-(Datos!V18+Datos!AN18))/(Datos!V18+Datos!AN18))
     ),IF(D_I="SI",(Datos!L18-Datos!V18)/Datos!V18,(Datos!L18+Datos!AF18-(Datos!V18+Datos!AN18))/(Datos!V18+Datos!AN18))," - ")</f>
        <v>0.155668358714044</v>
      </c>
      <c r="H18" s="355">
        <f>IF(ISNUMBER((Datos!M18-Datos!W18)/Datos!W18),(Datos!M18-Datos!W18)/Datos!W18," - ")</f>
        <v>-5.6412729026036647E-2</v>
      </c>
      <c r="I18" s="356">
        <f>IF(ISNUMBER((Tasas!C18-Datos!BE18)/Datos!BE18),(Tasas!C18-Datos!BE18)/Datos!BE18," - ")</f>
        <v>0.21474521078365305</v>
      </c>
      <c r="J18" s="354">
        <f>IF(ISNUMBER((Tasas!D18-Datos!BF18)/Datos!BF18),(Tasas!D18-Datos!BF18)/Datos!BF18," - ")</f>
        <v>-8.1772943515736572E-3</v>
      </c>
      <c r="K18" s="357">
        <f>IF(ISNUMBER((Tasas!E18-Datos!BG18)/Datos!BG18),(Tasas!E18-Datos!BG18)/Datos!BG18," - ")</f>
        <v>2.5788986830020306E-2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0.20544783010156972</v>
      </c>
      <c r="E19" s="362">
        <f>IF(ISNUMBER(
   IF(J_V="SI",(Datos!J19-Datos!T19)/Datos!T19,(Datos!J19+Datos!Z19-(Datos!T19+Datos!AH19))/(Datos!T19+Datos!AH19))
     ),IF(J_V="SI",(Datos!J19-Datos!T19)/Datos!T19,(Datos!J19+Datos!Z19-(Datos!T19+Datos!AH19))/(Datos!T19+Datos!AH19))," - ")</f>
        <v>-5.9654125655413483E-2</v>
      </c>
      <c r="F19" s="362">
        <f>IF(ISNUMBER(
   IF(J_V="SI",(Datos!K19-Datos!U19)/Datos!U19,(Datos!K19+Datos!AA19-(Datos!U19+Datos!AI19))/(Datos!U19+Datos!AI19))
     ),IF(J_V="SI",(Datos!K19-Datos!U19)/Datos!U19,(Datos!K19+Datos!AA19-(Datos!U19+Datos!AI19))/(Datos!U19+Datos!AI19))," - ")</f>
        <v>3.5315350470708745E-2</v>
      </c>
      <c r="G19" s="363">
        <f>IF(ISNUMBER(
   IF(J_V="SI",(Datos!L19-Datos!V19)/Datos!V19,(Datos!L19+Datos!AB19-(Datos!V19+Datos!AJ19))/(Datos!V19+Datos!AJ19))
     ),IF(J_V="SI",(Datos!L19-Datos!V19)/Datos!V19,(Datos!L19+Datos!AB19-(Datos!V19+Datos!AJ19))/(Datos!V19+Datos!AJ19))," - ")</f>
        <v>-5.6938593131622625E-2</v>
      </c>
      <c r="H19" s="364">
        <f>IF(ISNUMBER((Datos!M19-Datos!W19)/Datos!W19),(Datos!M19-Datos!W19)/Datos!W19," - ")</f>
        <v>4.2012701514411332E-2</v>
      </c>
      <c r="I19" s="361">
        <f>IF(ISNUMBER((Tasas!C19-Datos!BE19)/Datos!BE19),(Tasas!C19-Datos!BE19)/Datos!BE19," - ")</f>
        <v>-8.910709530230361E-2</v>
      </c>
      <c r="J19" s="362">
        <f>IF(ISNUMBER((Tasas!D19-Datos!BF19)/Datos!BF19),(Tasas!D19-Datos!BF19)/Datos!BF19," - ")</f>
        <v>-0.35283749412413051</v>
      </c>
      <c r="K19" s="363">
        <f>IF(ISNUMBER((Tasas!E19-Datos!BG19)/Datos!BG19),(Tasas!E19-Datos!BG19)/Datos!BG19," - ")</f>
        <v>-3.2811009119210394E-2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0.13465783621248853</v>
      </c>
      <c r="E21" s="277">
        <f t="shared" si="1"/>
        <v>0.18034275472665889</v>
      </c>
      <c r="F21" s="277">
        <f t="shared" si="1"/>
        <v>6.1723585636999867E-2</v>
      </c>
      <c r="G21" s="278">
        <f t="shared" si="1"/>
        <v>0.25565313962906272</v>
      </c>
      <c r="H21" s="284">
        <f t="shared" si="1"/>
        <v>0.16731840357266903</v>
      </c>
      <c r="I21" s="276">
        <f t="shared" si="1"/>
        <v>0.30130549966713044</v>
      </c>
      <c r="J21" s="277">
        <f t="shared" si="1"/>
        <v>0.25984241473414871</v>
      </c>
      <c r="K21" s="278">
        <f t="shared" si="1"/>
        <v>8.5034542845766559E-2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40PF5cmPlqrdY6vgTKpaENsQr7rzjMrpxW0S85AN90BNNH8f0AWUyBhG4BdRKT6ok+yfRnwG7ZhovsuTaFqgg==" saltValue="W/RCws+8kkwRQlUNywkLW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